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mbeddings/oleObject1.bin" ContentType="application/vnd.openxmlformats-officedocument.oleObject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J:\www\classes\273\Classes\"/>
    </mc:Choice>
  </mc:AlternateContent>
  <xr:revisionPtr revIDLastSave="0" documentId="13_ncr:40009_{96DB3B2E-414F-4566-8398-C9C755A5D0F1}" xr6:coauthVersionLast="47" xr6:coauthVersionMax="47" xr10:uidLastSave="{00000000-0000-0000-0000-000000000000}"/>
  <bookViews>
    <workbookView xWindow="-120" yWindow="-120" windowWidth="27645" windowHeight="164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definedNames>
    <definedName name="solver_adj" localSheetId="0" hidden="1">Sheet1!$J$3</definedName>
    <definedName name="solver_adj" localSheetId="9" hidden="1">Sheet10!$J$3</definedName>
    <definedName name="solver_cvg" localSheetId="0" hidden="1">0.0001</definedName>
    <definedName name="solver_cvg" localSheetId="9" hidden="1">0.0001</definedName>
    <definedName name="solver_drv" localSheetId="0" hidden="1">1</definedName>
    <definedName name="solver_drv" localSheetId="9" hidden="1">1</definedName>
    <definedName name="solver_est" localSheetId="0" hidden="1">1</definedName>
    <definedName name="solver_est" localSheetId="9" hidden="1">1</definedName>
    <definedName name="solver_itr" localSheetId="0" hidden="1">100</definedName>
    <definedName name="solver_itr" localSheetId="9" hidden="1">100</definedName>
    <definedName name="solver_lin" localSheetId="0" hidden="1">2</definedName>
    <definedName name="solver_lin" localSheetId="9" hidden="1">2</definedName>
    <definedName name="solver_neg" localSheetId="0" hidden="1">2</definedName>
    <definedName name="solver_neg" localSheetId="9" hidden="1">2</definedName>
    <definedName name="solver_num" localSheetId="0" hidden="1">0</definedName>
    <definedName name="solver_num" localSheetId="9" hidden="1">0</definedName>
    <definedName name="solver_nwt" localSheetId="0" hidden="1">1</definedName>
    <definedName name="solver_nwt" localSheetId="9" hidden="1">1</definedName>
    <definedName name="solver_opt" localSheetId="0" hidden="1">Sheet1!$B$31</definedName>
    <definedName name="solver_opt" localSheetId="9" hidden="1">Sheet10!$B$31</definedName>
    <definedName name="solver_pre" localSheetId="0" hidden="1">0.000001</definedName>
    <definedName name="solver_pre" localSheetId="9" hidden="1">0.000001</definedName>
    <definedName name="solver_scl" localSheetId="0" hidden="1">2</definedName>
    <definedName name="solver_scl" localSheetId="9" hidden="1">2</definedName>
    <definedName name="solver_sho" localSheetId="0" hidden="1">2</definedName>
    <definedName name="solver_sho" localSheetId="9" hidden="1">2</definedName>
    <definedName name="solver_tim" localSheetId="0" hidden="1">100</definedName>
    <definedName name="solver_tim" localSheetId="9" hidden="1">100</definedName>
    <definedName name="solver_tol" localSheetId="0" hidden="1">0.05</definedName>
    <definedName name="solver_tol" localSheetId="9" hidden="1">0.05</definedName>
    <definedName name="solver_typ" localSheetId="0" hidden="1">3</definedName>
    <definedName name="solver_typ" localSheetId="9" hidden="1">3</definedName>
    <definedName name="solver_val" localSheetId="0" hidden="1">0</definedName>
    <definedName name="solver_val" localSheetId="9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7" l="1"/>
  <c r="D30" i="7"/>
  <c r="A30" i="7"/>
  <c r="D30" i="6"/>
  <c r="A30" i="6"/>
  <c r="D30" i="5"/>
  <c r="A30" i="5"/>
  <c r="D30" i="4"/>
  <c r="A30" i="4"/>
  <c r="D30" i="3"/>
  <c r="A30" i="3"/>
  <c r="D30" i="2"/>
  <c r="C30" i="2"/>
  <c r="A30" i="2"/>
  <c r="G29" i="10"/>
  <c r="G29" i="9"/>
  <c r="G29" i="8"/>
  <c r="K25" i="10"/>
  <c r="K25" i="9"/>
  <c r="K25" i="8"/>
  <c r="K25" i="7"/>
  <c r="C30" i="10"/>
  <c r="E30" i="10"/>
  <c r="C29" i="10"/>
  <c r="D11" i="10"/>
  <c r="E11" i="10"/>
  <c r="E29" i="10"/>
  <c r="B4" i="10"/>
  <c r="B9" i="10"/>
  <c r="C4" i="10"/>
  <c r="B12" i="10"/>
  <c r="C5" i="10"/>
  <c r="D5" i="10"/>
  <c r="E5" i="10"/>
  <c r="G16" i="10"/>
  <c r="J22" i="10"/>
  <c r="L22" i="10"/>
  <c r="K21" i="10"/>
  <c r="K22" i="10"/>
  <c r="F5" i="10"/>
  <c r="C6" i="10"/>
  <c r="D6" i="10"/>
  <c r="E6" i="10"/>
  <c r="G6" i="10"/>
  <c r="C7" i="10"/>
  <c r="D7" i="10"/>
  <c r="E7" i="10"/>
  <c r="G7" i="10"/>
  <c r="C8" i="10"/>
  <c r="D8" i="10"/>
  <c r="E8" i="10"/>
  <c r="K23" i="10"/>
  <c r="K24" i="10"/>
  <c r="D10" i="10"/>
  <c r="J27" i="10"/>
  <c r="L27" i="10"/>
  <c r="K27" i="10"/>
  <c r="C30" i="9"/>
  <c r="E30" i="9"/>
  <c r="C29" i="9"/>
  <c r="D11" i="9"/>
  <c r="E11" i="9"/>
  <c r="B4" i="9"/>
  <c r="B9" i="9"/>
  <c r="B12" i="9"/>
  <c r="C6" i="9"/>
  <c r="D6" i="9"/>
  <c r="E6" i="9"/>
  <c r="G6" i="9"/>
  <c r="K21" i="9"/>
  <c r="K22" i="9"/>
  <c r="F5" i="9"/>
  <c r="K23" i="9"/>
  <c r="K24" i="9"/>
  <c r="D10" i="9"/>
  <c r="J27" i="9"/>
  <c r="L27" i="9"/>
  <c r="K27" i="9"/>
  <c r="C30" i="8"/>
  <c r="E30" i="8"/>
  <c r="C29" i="8"/>
  <c r="D11" i="8"/>
  <c r="E11" i="8"/>
  <c r="B4" i="8"/>
  <c r="B12" i="8"/>
  <c r="C6" i="8"/>
  <c r="D6" i="8"/>
  <c r="E6" i="8"/>
  <c r="G6" i="8"/>
  <c r="K21" i="8"/>
  <c r="K22" i="8"/>
  <c r="F5" i="8"/>
  <c r="K23" i="8"/>
  <c r="K24" i="8"/>
  <c r="D10" i="8"/>
  <c r="J27" i="8"/>
  <c r="K27" i="8"/>
  <c r="D11" i="7"/>
  <c r="E11" i="7"/>
  <c r="B4" i="7"/>
  <c r="B12" i="7"/>
  <c r="K22" i="7"/>
  <c r="F5" i="7"/>
  <c r="K23" i="7"/>
  <c r="K24" i="7"/>
  <c r="D10" i="7"/>
  <c r="J27" i="7"/>
  <c r="L27" i="7"/>
  <c r="K27" i="7"/>
  <c r="D11" i="6"/>
  <c r="E11" i="6"/>
  <c r="B4" i="6"/>
  <c r="B12" i="6"/>
  <c r="C5" i="6"/>
  <c r="D5" i="6"/>
  <c r="E5" i="6"/>
  <c r="F5" i="6"/>
  <c r="D10" i="6"/>
  <c r="B9" i="6"/>
  <c r="D11" i="5"/>
  <c r="E11" i="5"/>
  <c r="B4" i="5"/>
  <c r="B9" i="5"/>
  <c r="B12" i="5"/>
  <c r="F5" i="5"/>
  <c r="D10" i="5"/>
  <c r="D11" i="4"/>
  <c r="E11" i="4"/>
  <c r="B4" i="4"/>
  <c r="B12" i="4"/>
  <c r="C4" i="4"/>
  <c r="F5" i="4"/>
  <c r="D10" i="4"/>
  <c r="B9" i="4"/>
  <c r="D11" i="3"/>
  <c r="E11" i="3"/>
  <c r="B4" i="3"/>
  <c r="B12" i="3"/>
  <c r="C8" i="3"/>
  <c r="D8" i="3"/>
  <c r="E8" i="3"/>
  <c r="D10" i="3"/>
  <c r="B9" i="3"/>
  <c r="B4" i="2"/>
  <c r="B9" i="2"/>
  <c r="B12" i="2"/>
  <c r="C7" i="2"/>
  <c r="B4" i="1"/>
  <c r="B9" i="1"/>
  <c r="B12" i="1"/>
  <c r="C30" i="1"/>
  <c r="C30" i="3"/>
  <c r="C7" i="3"/>
  <c r="D7" i="3"/>
  <c r="E7" i="3"/>
  <c r="C4" i="6"/>
  <c r="C6" i="6"/>
  <c r="D6" i="6"/>
  <c r="E6" i="6"/>
  <c r="G6" i="6"/>
  <c r="C7" i="6"/>
  <c r="D7" i="6"/>
  <c r="E7" i="6"/>
  <c r="G7" i="6"/>
  <c r="C8" i="6"/>
  <c r="D8" i="6"/>
  <c r="E8" i="6"/>
  <c r="C5" i="7"/>
  <c r="D5" i="7"/>
  <c r="E5" i="7"/>
  <c r="G16" i="7"/>
  <c r="J22" i="7"/>
  <c r="L22" i="7"/>
  <c r="C6" i="7"/>
  <c r="D6" i="7"/>
  <c r="E6" i="7"/>
  <c r="G6" i="7"/>
  <c r="C7" i="7"/>
  <c r="D7" i="7"/>
  <c r="E7" i="7"/>
  <c r="G7" i="7"/>
  <c r="C8" i="7"/>
  <c r="D8" i="7"/>
  <c r="E8" i="7"/>
  <c r="C8" i="8"/>
  <c r="D8" i="8"/>
  <c r="E8" i="8"/>
  <c r="G8" i="8"/>
  <c r="C7" i="8"/>
  <c r="D7" i="8"/>
  <c r="E7" i="8"/>
  <c r="G7" i="8"/>
  <c r="D4" i="6"/>
  <c r="E4" i="6"/>
  <c r="G15" i="6"/>
  <c r="C6" i="2"/>
  <c r="D4" i="10"/>
  <c r="E4" i="10"/>
  <c r="C5" i="5"/>
  <c r="D5" i="5"/>
  <c r="E5" i="5"/>
  <c r="G5" i="5"/>
  <c r="C7" i="5"/>
  <c r="D7" i="5"/>
  <c r="E7" i="5"/>
  <c r="G7" i="5"/>
  <c r="C8" i="5"/>
  <c r="D8" i="5"/>
  <c r="E8" i="5"/>
  <c r="G8" i="5"/>
  <c r="C6" i="5"/>
  <c r="D6" i="5"/>
  <c r="E6" i="5"/>
  <c r="G6" i="5"/>
  <c r="C4" i="2"/>
  <c r="B9" i="7"/>
  <c r="C4" i="7"/>
  <c r="L27" i="8"/>
  <c r="B9" i="8"/>
  <c r="D4" i="7"/>
  <c r="E4" i="7"/>
  <c r="G16" i="6"/>
  <c r="G5" i="6"/>
  <c r="G5" i="7"/>
  <c r="G4" i="7"/>
  <c r="G15" i="7"/>
  <c r="J21" i="7"/>
  <c r="L21" i="7"/>
  <c r="G8" i="7"/>
  <c r="G17" i="7"/>
  <c r="J25" i="7"/>
  <c r="L25" i="7"/>
  <c r="D4" i="4"/>
  <c r="E4" i="4"/>
  <c r="G4" i="4"/>
  <c r="G5" i="10"/>
  <c r="C12" i="10"/>
  <c r="G4" i="10"/>
  <c r="G15" i="10"/>
  <c r="J21" i="10"/>
  <c r="L21" i="10"/>
  <c r="G4" i="6"/>
  <c r="G17" i="8"/>
  <c r="J25" i="8"/>
  <c r="L25" i="8"/>
  <c r="G8" i="6"/>
  <c r="G17" i="6"/>
  <c r="G8" i="10"/>
  <c r="G17" i="10"/>
  <c r="J25" i="10"/>
  <c r="L25" i="10"/>
  <c r="C30" i="5"/>
  <c r="C5" i="9"/>
  <c r="D5" i="9"/>
  <c r="E5" i="9"/>
  <c r="C7" i="9"/>
  <c r="D7" i="9"/>
  <c r="E7" i="9"/>
  <c r="G7" i="9"/>
  <c r="C12" i="6"/>
  <c r="C4" i="9"/>
  <c r="C6" i="3"/>
  <c r="D6" i="3"/>
  <c r="E6" i="3"/>
  <c r="C4" i="3"/>
  <c r="C8" i="4"/>
  <c r="D8" i="4"/>
  <c r="E8" i="4"/>
  <c r="G8" i="4"/>
  <c r="C7" i="4"/>
  <c r="D7" i="4"/>
  <c r="E7" i="4"/>
  <c r="G7" i="4"/>
  <c r="C6" i="4"/>
  <c r="D6" i="4"/>
  <c r="E6" i="4"/>
  <c r="G6" i="4"/>
  <c r="C30" i="7"/>
  <c r="C12" i="7"/>
  <c r="C5" i="3"/>
  <c r="D5" i="3"/>
  <c r="E5" i="3"/>
  <c r="C8" i="9"/>
  <c r="D8" i="9"/>
  <c r="E8" i="9"/>
  <c r="C4" i="8"/>
  <c r="C5" i="2"/>
  <c r="C12" i="2"/>
  <c r="C30" i="4"/>
  <c r="C5" i="4"/>
  <c r="D5" i="4"/>
  <c r="E5" i="4"/>
  <c r="G5" i="4"/>
  <c r="C5" i="8"/>
  <c r="D5" i="8"/>
  <c r="E5" i="8"/>
  <c r="C30" i="6"/>
  <c r="C4" i="5"/>
  <c r="C8" i="2"/>
  <c r="G9" i="10"/>
  <c r="G17" i="9"/>
  <c r="J25" i="9"/>
  <c r="L25" i="9"/>
  <c r="G8" i="9"/>
  <c r="G5" i="9"/>
  <c r="G16" i="9"/>
  <c r="C12" i="8"/>
  <c r="D4" i="8"/>
  <c r="E4" i="8"/>
  <c r="C12" i="5"/>
  <c r="D4" i="5"/>
  <c r="E4" i="5"/>
  <c r="G4" i="5"/>
  <c r="G9" i="5"/>
  <c r="D4" i="9"/>
  <c r="E4" i="9"/>
  <c r="C12" i="9"/>
  <c r="G9" i="6"/>
  <c r="G16" i="8"/>
  <c r="G5" i="8"/>
  <c r="D4" i="3"/>
  <c r="E4" i="3"/>
  <c r="C12" i="3"/>
  <c r="C12" i="4"/>
  <c r="G9" i="7"/>
  <c r="G10" i="7"/>
  <c r="G11" i="7"/>
  <c r="G11" i="6"/>
  <c r="G10" i="6"/>
  <c r="G15" i="8"/>
  <c r="J21" i="8"/>
  <c r="L21" i="8"/>
  <c r="G4" i="8"/>
  <c r="G9" i="8"/>
  <c r="J22" i="8"/>
  <c r="L22" i="8"/>
  <c r="E29" i="8"/>
  <c r="G15" i="9"/>
  <c r="J21" i="9"/>
  <c r="L21" i="9"/>
  <c r="G4" i="9"/>
  <c r="G9" i="9"/>
  <c r="G10" i="5"/>
  <c r="G11" i="5"/>
  <c r="J22" i="9"/>
  <c r="L22" i="9"/>
  <c r="E29" i="9"/>
  <c r="G10" i="10"/>
  <c r="G11" i="10"/>
  <c r="G12" i="5"/>
  <c r="G13" i="5"/>
  <c r="G14" i="5"/>
  <c r="G12" i="6"/>
  <c r="G13" i="6"/>
  <c r="G14" i="6"/>
  <c r="J23" i="10"/>
  <c r="L23" i="10"/>
  <c r="G12" i="10"/>
  <c r="G13" i="10"/>
  <c r="G10" i="9"/>
  <c r="G11" i="9"/>
  <c r="G10" i="8"/>
  <c r="G11" i="8"/>
  <c r="G13" i="7"/>
  <c r="G12" i="7"/>
  <c r="J23" i="7"/>
  <c r="L23" i="7"/>
  <c r="J24" i="10"/>
  <c r="L24" i="10"/>
  <c r="G14" i="10"/>
  <c r="G12" i="8"/>
  <c r="G13" i="8"/>
  <c r="J23" i="8"/>
  <c r="L23" i="8"/>
  <c r="G12" i="9"/>
  <c r="G13" i="9"/>
  <c r="J23" i="9"/>
  <c r="L23" i="9"/>
  <c r="G14" i="7"/>
  <c r="J24" i="7"/>
  <c r="L24" i="7"/>
  <c r="L29" i="7"/>
  <c r="L29" i="10"/>
  <c r="B31" i="10"/>
  <c r="B32" i="10"/>
  <c r="B33" i="10"/>
  <c r="D35" i="10"/>
  <c r="J24" i="9"/>
  <c r="L24" i="9"/>
  <c r="L29" i="9"/>
  <c r="B31" i="9"/>
  <c r="B32" i="9"/>
  <c r="B33" i="9"/>
  <c r="D35" i="9"/>
  <c r="G14" i="9"/>
  <c r="G14" i="8"/>
  <c r="J24" i="8"/>
  <c r="L24" i="8"/>
  <c r="L29" i="8"/>
</calcChain>
</file>

<file path=xl/sharedStrings.xml><?xml version="1.0" encoding="utf-8"?>
<sst xmlns="http://schemas.openxmlformats.org/spreadsheetml/2006/main" count="487" uniqueCount="67">
  <si>
    <t>Example Problem</t>
  </si>
  <si>
    <t>lb raw coal/hr</t>
  </si>
  <si>
    <t>C</t>
  </si>
  <si>
    <t>H</t>
  </si>
  <si>
    <t>O</t>
  </si>
  <si>
    <t>N</t>
  </si>
  <si>
    <t>S</t>
  </si>
  <si>
    <t>ash</t>
  </si>
  <si>
    <t>moisture</t>
  </si>
  <si>
    <t>daf wt%</t>
  </si>
  <si>
    <t>as rec'd</t>
  </si>
  <si>
    <t>mass (lb/hr)</t>
  </si>
  <si>
    <t>O2/element</t>
  </si>
  <si>
    <t>Total O2=</t>
  </si>
  <si>
    <t>Total N2=</t>
  </si>
  <si>
    <t>lb O2/hr</t>
  </si>
  <si>
    <t>lb N2/hr</t>
  </si>
  <si>
    <t>Total CO2=</t>
  </si>
  <si>
    <t>Total H2O=</t>
  </si>
  <si>
    <t>Total SO2=</t>
  </si>
  <si>
    <t>Cp Data</t>
  </si>
  <si>
    <t>H2O(g)</t>
  </si>
  <si>
    <t>N2</t>
  </si>
  <si>
    <t>O2</t>
  </si>
  <si>
    <t>a</t>
  </si>
  <si>
    <t>b</t>
  </si>
  <si>
    <t>c</t>
  </si>
  <si>
    <t>d</t>
  </si>
  <si>
    <t>T</t>
  </si>
  <si>
    <t>Form</t>
  </si>
  <si>
    <t>DelH_f</t>
  </si>
  <si>
    <t>CO2</t>
  </si>
  <si>
    <t>6% Excess=</t>
  </si>
  <si>
    <t>int(Cp dT)</t>
  </si>
  <si>
    <t>Tin=</t>
  </si>
  <si>
    <t>Tout=</t>
  </si>
  <si>
    <t>Sum=</t>
  </si>
  <si>
    <t>lb moles/hr</t>
  </si>
  <si>
    <t>Del H (kJ/hr)</t>
  </si>
  <si>
    <t>lb moles O2/hr</t>
  </si>
  <si>
    <t>lb moles N2/hr</t>
  </si>
  <si>
    <t>lb moles CO2/hr</t>
  </si>
  <si>
    <t>lb moles H2O/hr</t>
  </si>
  <si>
    <t>lb moles SO2/hr</t>
  </si>
  <si>
    <t>ndot (gmol/hr)</t>
  </si>
  <si>
    <t>kJ/kg-C</t>
  </si>
  <si>
    <t>mdot (kg/hr)</t>
  </si>
  <si>
    <t>kJ/hr</t>
  </si>
  <si>
    <t>Heat of vaporization =</t>
  </si>
  <si>
    <t>kJ/mol</t>
  </si>
  <si>
    <t>Heat of combustion=</t>
  </si>
  <si>
    <t>Btu/lb as rec'd</t>
  </si>
  <si>
    <t>Qdot=</t>
  </si>
  <si>
    <t>kW</t>
  </si>
  <si>
    <t>MW</t>
  </si>
  <si>
    <t>Electricity at 34% efficiency =</t>
  </si>
  <si>
    <t>kJ/gmol</t>
  </si>
  <si>
    <t>kJ/kg</t>
  </si>
  <si>
    <t>(negative because exothermic)</t>
  </si>
  <si>
    <t>Heat transferred to steam! (therefore negative)</t>
  </si>
  <si>
    <t>Change!!!</t>
  </si>
  <si>
    <t>6% Excess Air</t>
  </si>
  <si>
    <t>SO2</t>
  </si>
  <si>
    <t>H (kJ/hr)</t>
  </si>
  <si>
    <t>(moisture plus water from combustion)</t>
  </si>
  <si>
    <t>ash (as rec'd)</t>
  </si>
  <si>
    <t>moisture (as rec'd)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</si>
</sst>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E+00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1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2" borderId="1" xfId="0" applyFill="1" applyBorder="1"/>
    <xf numFmtId="165" fontId="0" fillId="2" borderId="2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65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165" fontId="0" fillId="2" borderId="7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11" fontId="0" fillId="3" borderId="0" xfId="0" applyNumberFormat="1" applyFill="1" applyBorder="1"/>
    <xf numFmtId="0" fontId="0" fillId="3" borderId="0" xfId="0" applyNumberFormat="1" applyFill="1" applyBorder="1" applyAlignment="1">
      <alignment horizontal="center"/>
    </xf>
    <xf numFmtId="0" fontId="0" fillId="3" borderId="5" xfId="0" applyNumberFormat="1" applyFill="1" applyBorder="1"/>
    <xf numFmtId="0" fontId="0" fillId="3" borderId="6" xfId="0" applyFill="1" applyBorder="1"/>
    <xf numFmtId="0" fontId="0" fillId="3" borderId="7" xfId="0" applyFill="1" applyBorder="1"/>
    <xf numFmtId="11" fontId="0" fillId="3" borderId="7" xfId="0" applyNumberFormat="1" applyFill="1" applyBorder="1"/>
    <xf numFmtId="0" fontId="0" fillId="3" borderId="8" xfId="0" applyFill="1" applyBorder="1"/>
    <xf numFmtId="11" fontId="0" fillId="4" borderId="0" xfId="0" applyNumberFormat="1" applyFill="1"/>
    <xf numFmtId="0" fontId="0" fillId="4" borderId="0" xfId="0" applyFill="1"/>
    <xf numFmtId="11" fontId="0" fillId="5" borderId="0" xfId="0" applyNumberFormat="1" applyFill="1"/>
    <xf numFmtId="0" fontId="0" fillId="5" borderId="0" xfId="0" applyFill="1"/>
    <xf numFmtId="0" fontId="0" fillId="6" borderId="0" xfId="0" applyFill="1"/>
    <xf numFmtId="1" fontId="0" fillId="6" borderId="0" xfId="0" applyNumberFormat="1" applyFill="1"/>
    <xf numFmtId="0" fontId="2" fillId="3" borderId="1" xfId="0" applyFont="1" applyFill="1" applyBorder="1"/>
    <xf numFmtId="0" fontId="2" fillId="5" borderId="0" xfId="0" applyFont="1" applyFill="1"/>
    <xf numFmtId="0" fontId="0" fillId="7" borderId="0" xfId="0" applyFill="1"/>
    <xf numFmtId="165" fontId="0" fillId="7" borderId="0" xfId="0" applyNumberFormat="1" applyFill="1"/>
    <xf numFmtId="0" fontId="0" fillId="8" borderId="0" xfId="0" applyFill="1"/>
    <xf numFmtId="165" fontId="0" fillId="8" borderId="0" xfId="0" applyNumberFormat="1" applyFill="1"/>
    <xf numFmtId="0" fontId="0" fillId="9" borderId="0" xfId="0" applyFill="1"/>
    <xf numFmtId="11" fontId="0" fillId="9" borderId="0" xfId="0" applyNumberFormat="1" applyFill="1"/>
    <xf numFmtId="0" fontId="0" fillId="3" borderId="0" xfId="0" applyFill="1"/>
    <xf numFmtId="11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/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123825</xdr:rowOff>
    </xdr:from>
    <xdr:to>
      <xdr:col>3</xdr:col>
      <xdr:colOff>38100</xdr:colOff>
      <xdr:row>3</xdr:row>
      <xdr:rowOff>66675</xdr:rowOff>
    </xdr:to>
    <xdr:sp macro="" textlink="">
      <xdr:nvSpPr>
        <xdr:cNvPr id="1044" name="Oval 1">
          <a:extLst>
            <a:ext uri="{FF2B5EF4-FFF2-40B4-BE49-F238E27FC236}">
              <a16:creationId xmlns:a16="http://schemas.microsoft.com/office/drawing/2014/main" id="{6D9DC262-0479-4AF9-8169-D5BFFFCE1078}"/>
            </a:ext>
          </a:extLst>
        </xdr:cNvPr>
        <xdr:cNvSpPr>
          <a:spLocks noChangeArrowheads="1"/>
        </xdr:cNvSpPr>
      </xdr:nvSpPr>
      <xdr:spPr bwMode="auto">
        <a:xfrm>
          <a:off x="1200150" y="352425"/>
          <a:ext cx="695325" cy="26670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2</xdr:col>
      <xdr:colOff>87313</xdr:colOff>
      <xdr:row>3</xdr:row>
      <xdr:rowOff>103187</xdr:rowOff>
    </xdr:from>
    <xdr:ext cx="2345129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B831CE-35E3-4C36-AD22-224D91E89910}"/>
            </a:ext>
          </a:extLst>
        </xdr:cNvPr>
        <xdr:cNvSpPr txBox="1"/>
      </xdr:nvSpPr>
      <xdr:spPr>
        <a:xfrm>
          <a:off x="1333501" y="650875"/>
          <a:ext cx="2345129" cy="26456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1. Calculate mass on as received basis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2</xdr:row>
      <xdr:rowOff>142875</xdr:rowOff>
    </xdr:from>
    <xdr:to>
      <xdr:col>9</xdr:col>
      <xdr:colOff>704850</xdr:colOff>
      <xdr:row>8</xdr:row>
      <xdr:rowOff>38100</xdr:rowOff>
    </xdr:to>
    <xdr:sp macro="" textlink="">
      <xdr:nvSpPr>
        <xdr:cNvPr id="2063" name="AutoShape 1">
          <a:extLst>
            <a:ext uri="{FF2B5EF4-FFF2-40B4-BE49-F238E27FC236}">
              <a16:creationId xmlns:a16="http://schemas.microsoft.com/office/drawing/2014/main" id="{0E666752-80FC-4E63-821D-BEB0D7589E75}"/>
            </a:ext>
          </a:extLst>
        </xdr:cNvPr>
        <xdr:cNvSpPr>
          <a:spLocks noChangeArrowheads="1"/>
        </xdr:cNvSpPr>
      </xdr:nvSpPr>
      <xdr:spPr bwMode="auto">
        <a:xfrm rot="-2345631">
          <a:off x="5581650" y="533400"/>
          <a:ext cx="1238250" cy="866775"/>
        </a:xfrm>
        <a:prstGeom prst="rightArrow">
          <a:avLst>
            <a:gd name="adj1" fmla="val 50000"/>
            <a:gd name="adj2" fmla="val 35714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47625</xdr:colOff>
      <xdr:row>10</xdr:row>
      <xdr:rowOff>28575</xdr:rowOff>
    </xdr:from>
    <xdr:ext cx="5416868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5C1C2AA-F31B-4466-BCA3-6E9CC75FDB3C}"/>
            </a:ext>
          </a:extLst>
        </xdr:cNvPr>
        <xdr:cNvSpPr txBox="1"/>
      </xdr:nvSpPr>
      <xdr:spPr>
        <a:xfrm>
          <a:off x="4943475" y="1714500"/>
          <a:ext cx="5416868" cy="26456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10. Change the exhaust temperature and see what happened to the amount of eleactricity!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</xdr:row>
      <xdr:rowOff>114300</xdr:rowOff>
    </xdr:from>
    <xdr:to>
      <xdr:col>5</xdr:col>
      <xdr:colOff>409575</xdr:colOff>
      <xdr:row>11</xdr:row>
      <xdr:rowOff>38100</xdr:rowOff>
    </xdr:to>
    <xdr:sp macro="" textlink="">
      <xdr:nvSpPr>
        <xdr:cNvPr id="3092" name="AutoShape 1">
          <a:extLst>
            <a:ext uri="{FF2B5EF4-FFF2-40B4-BE49-F238E27FC236}">
              <a16:creationId xmlns:a16="http://schemas.microsoft.com/office/drawing/2014/main" id="{2CC9DB14-FB73-4ACF-AE37-2D2796EF2FA2}"/>
            </a:ext>
          </a:extLst>
        </xdr:cNvPr>
        <xdr:cNvSpPr>
          <a:spLocks noChangeArrowheads="1"/>
        </xdr:cNvSpPr>
      </xdr:nvSpPr>
      <xdr:spPr bwMode="auto">
        <a:xfrm rot="-7687370">
          <a:off x="2705100" y="838200"/>
          <a:ext cx="1219200" cy="876300"/>
        </a:xfrm>
        <a:prstGeom prst="rightArrow">
          <a:avLst>
            <a:gd name="adj1" fmla="val 50000"/>
            <a:gd name="adj2" fmla="val 3478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304800</xdr:colOff>
      <xdr:row>4</xdr:row>
      <xdr:rowOff>95250</xdr:rowOff>
    </xdr:from>
    <xdr:ext cx="3441391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1CC241-5E3E-438F-ADD1-109BFBAB7DDA}"/>
            </a:ext>
          </a:extLst>
        </xdr:cNvPr>
        <xdr:cNvSpPr txBox="1"/>
      </xdr:nvSpPr>
      <xdr:spPr>
        <a:xfrm>
          <a:off x="3648075" y="809625"/>
          <a:ext cx="3441391" cy="43678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2. Calculate mass/hr of each element,</a:t>
          </a:r>
          <a:r>
            <a:rPr lang="en-US" sz="1100" baseline="0"/>
            <a:t> ash, and moisture.</a:t>
          </a:r>
          <a:br>
            <a:rPr lang="en-US" sz="1100" baseline="0"/>
          </a:br>
          <a:r>
            <a:rPr lang="en-US" sz="1100" baseline="0"/>
            <a:t>Convert mass to moles for elements.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5</xdr:row>
      <xdr:rowOff>19050</xdr:rowOff>
    </xdr:from>
    <xdr:to>
      <xdr:col>8</xdr:col>
      <xdr:colOff>209550</xdr:colOff>
      <xdr:row>12</xdr:row>
      <xdr:rowOff>104775</xdr:rowOff>
    </xdr:to>
    <xdr:sp macro="" textlink="">
      <xdr:nvSpPr>
        <xdr:cNvPr id="4115" name="AutoShape 1">
          <a:extLst>
            <a:ext uri="{FF2B5EF4-FFF2-40B4-BE49-F238E27FC236}">
              <a16:creationId xmlns:a16="http://schemas.microsoft.com/office/drawing/2014/main" id="{E8DCEBD0-702A-4C9C-B38B-9AB2B142E4A3}"/>
            </a:ext>
          </a:extLst>
        </xdr:cNvPr>
        <xdr:cNvSpPr>
          <a:spLocks noChangeArrowheads="1"/>
        </xdr:cNvSpPr>
      </xdr:nvSpPr>
      <xdr:spPr bwMode="auto">
        <a:xfrm rot="-7687370">
          <a:off x="4652963" y="1052512"/>
          <a:ext cx="1219200" cy="904875"/>
        </a:xfrm>
        <a:prstGeom prst="rightArrow">
          <a:avLst>
            <a:gd name="adj1" fmla="val 50000"/>
            <a:gd name="adj2" fmla="val 33684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342900</xdr:colOff>
      <xdr:row>12</xdr:row>
      <xdr:rowOff>47625</xdr:rowOff>
    </xdr:from>
    <xdr:ext cx="3918830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C4020F-9139-470F-885C-CB9AED940B4F}"/>
            </a:ext>
          </a:extLst>
        </xdr:cNvPr>
        <xdr:cNvSpPr txBox="1"/>
      </xdr:nvSpPr>
      <xdr:spPr>
        <a:xfrm>
          <a:off x="3686175" y="2057400"/>
          <a:ext cx="3918830" cy="43678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3. Calculate stoichiometric</a:t>
          </a:r>
          <a:r>
            <a:rPr lang="en-US" sz="1100" baseline="0"/>
            <a:t> coefficients for burning each element.</a:t>
          </a:r>
          <a:br>
            <a:rPr lang="en-US" sz="1100" baseline="0"/>
          </a:br>
          <a:r>
            <a:rPr lang="en-US" sz="1100" baseline="0"/>
            <a:t>Calculate the moles of O2 needed at stoichiometric conditions.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12</xdr:row>
      <xdr:rowOff>47625</xdr:rowOff>
    </xdr:from>
    <xdr:to>
      <xdr:col>7</xdr:col>
      <xdr:colOff>238125</xdr:colOff>
      <xdr:row>19</xdr:row>
      <xdr:rowOff>123825</xdr:rowOff>
    </xdr:to>
    <xdr:sp macro="" textlink="">
      <xdr:nvSpPr>
        <xdr:cNvPr id="5138" name="AutoShape 1">
          <a:extLst>
            <a:ext uri="{FF2B5EF4-FFF2-40B4-BE49-F238E27FC236}">
              <a16:creationId xmlns:a16="http://schemas.microsoft.com/office/drawing/2014/main" id="{F9683DA2-DAB5-4047-BAB0-3ADAA42C3107}"/>
            </a:ext>
          </a:extLst>
        </xdr:cNvPr>
        <xdr:cNvSpPr>
          <a:spLocks noChangeArrowheads="1"/>
        </xdr:cNvSpPr>
      </xdr:nvSpPr>
      <xdr:spPr bwMode="auto">
        <a:xfrm rot="-7687370">
          <a:off x="4086225" y="2219325"/>
          <a:ext cx="1209675" cy="885825"/>
        </a:xfrm>
        <a:prstGeom prst="rightArrow">
          <a:avLst>
            <a:gd name="adj1" fmla="val 50000"/>
            <a:gd name="adj2" fmla="val 34140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238125</xdr:colOff>
      <xdr:row>20</xdr:row>
      <xdr:rowOff>76200</xdr:rowOff>
    </xdr:from>
    <xdr:ext cx="316811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9826FA-3E95-4960-9367-A9CC27113137}"/>
            </a:ext>
          </a:extLst>
        </xdr:cNvPr>
        <xdr:cNvSpPr txBox="1"/>
      </xdr:nvSpPr>
      <xdr:spPr>
        <a:xfrm>
          <a:off x="3581400" y="3381375"/>
          <a:ext cx="3168111" cy="26456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4. Calculate inlet O2 and N2 using %</a:t>
          </a:r>
          <a:r>
            <a:rPr lang="en-US" sz="1100" baseline="0"/>
            <a:t> excess air value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16</xdr:row>
      <xdr:rowOff>38100</xdr:rowOff>
    </xdr:from>
    <xdr:to>
      <xdr:col>7</xdr:col>
      <xdr:colOff>581025</xdr:colOff>
      <xdr:row>23</xdr:row>
      <xdr:rowOff>114300</xdr:rowOff>
    </xdr:to>
    <xdr:sp macro="" textlink="">
      <xdr:nvSpPr>
        <xdr:cNvPr id="6161" name="AutoShape 1">
          <a:extLst>
            <a:ext uri="{FF2B5EF4-FFF2-40B4-BE49-F238E27FC236}">
              <a16:creationId xmlns:a16="http://schemas.microsoft.com/office/drawing/2014/main" id="{A3F30E17-32A5-40B7-8FDD-DF00CAC9A944}"/>
            </a:ext>
          </a:extLst>
        </xdr:cNvPr>
        <xdr:cNvSpPr>
          <a:spLocks noChangeArrowheads="1"/>
        </xdr:cNvSpPr>
      </xdr:nvSpPr>
      <xdr:spPr bwMode="auto">
        <a:xfrm rot="-7687370">
          <a:off x="4424362" y="2852738"/>
          <a:ext cx="1209675" cy="895350"/>
        </a:xfrm>
        <a:prstGeom prst="rightArrow">
          <a:avLst>
            <a:gd name="adj1" fmla="val 50000"/>
            <a:gd name="adj2" fmla="val 33777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542925</xdr:colOff>
      <xdr:row>24</xdr:row>
      <xdr:rowOff>38100</xdr:rowOff>
    </xdr:from>
    <xdr:ext cx="4283545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F9BE62-25E3-4DEB-9FB0-6F293315D8EA}"/>
            </a:ext>
          </a:extLst>
        </xdr:cNvPr>
        <xdr:cNvSpPr txBox="1"/>
      </xdr:nvSpPr>
      <xdr:spPr>
        <a:xfrm>
          <a:off x="3886200" y="3990975"/>
          <a:ext cx="4283545" cy="43678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5. Calculate </a:t>
          </a:r>
          <a:r>
            <a:rPr lang="en-US" sz="1100" baseline="0"/>
            <a:t> outlet CO2, H2O, and SO2 assuming complete combustion.</a:t>
          </a:r>
          <a:br>
            <a:rPr lang="en-US" sz="1100" baseline="0"/>
          </a:br>
          <a:r>
            <a:rPr lang="en-US" sz="1100" baseline="0"/>
            <a:t>These are related to the values calculated in column E.</a:t>
          </a: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24</xdr:row>
      <xdr:rowOff>47625</xdr:rowOff>
    </xdr:from>
    <xdr:to>
      <xdr:col>9</xdr:col>
      <xdr:colOff>76200</xdr:colOff>
      <xdr:row>31</xdr:row>
      <xdr:rowOff>133350</xdr:rowOff>
    </xdr:to>
    <xdr:sp macro="" textlink="">
      <xdr:nvSpPr>
        <xdr:cNvPr id="7185" name="AutoShape 1">
          <a:extLst>
            <a:ext uri="{FF2B5EF4-FFF2-40B4-BE49-F238E27FC236}">
              <a16:creationId xmlns:a16="http://schemas.microsoft.com/office/drawing/2014/main" id="{C3D4800E-1056-4F8D-B71A-A6F996DC1DAC}"/>
            </a:ext>
          </a:extLst>
        </xdr:cNvPr>
        <xdr:cNvSpPr>
          <a:spLocks noChangeArrowheads="1"/>
        </xdr:cNvSpPr>
      </xdr:nvSpPr>
      <xdr:spPr bwMode="auto">
        <a:xfrm rot="-3578994">
          <a:off x="5133975" y="4162425"/>
          <a:ext cx="1219200" cy="895350"/>
        </a:xfrm>
        <a:prstGeom prst="rightArrow">
          <a:avLst>
            <a:gd name="adj1" fmla="val 50000"/>
            <a:gd name="adj2" fmla="val 3404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5</xdr:col>
      <xdr:colOff>342900</xdr:colOff>
      <xdr:row>32</xdr:row>
      <xdr:rowOff>85725</xdr:rowOff>
    </xdr:from>
    <xdr:ext cx="5468391" cy="133485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E2B1FB-5D7B-4851-88DF-27BBE7104558}"/>
                </a:ext>
              </a:extLst>
            </xdr:cNvPr>
            <xdr:cNvSpPr txBox="1"/>
          </xdr:nvSpPr>
          <xdr:spPr>
            <a:xfrm>
              <a:off x="3686175" y="5334000"/>
              <a:ext cx="4849148" cy="444930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/>
                <a:t>6. From heat capacities and heats of formation, calculate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acc>
                        <m:accPr>
                          <m:chr m:val="̂"/>
                          <m:ctrlPr>
                            <a:rPr lang="en-US" sz="110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𝐻</m:t>
                          </m:r>
                        </m:e>
                      </m:acc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  <m:sup>
                      <m:r>
                        <a:rPr lang="en-US" sz="1100" b="0" i="0">
                          <a:latin typeface="Cambria Math" panose="02040503050406030204" pitchFamily="18" charset="0"/>
                        </a:rPr>
                        <m:t>′</m:t>
                      </m:r>
                    </m:sup>
                  </m:sSubSup>
                  <m:r>
                    <m:rPr>
                      <m:sty m:val="p"/>
                    </m:rPr>
                    <a:rPr lang="en-US" sz="1100" b="0" i="0">
                      <a:latin typeface="Cambria Math" panose="02040503050406030204" pitchFamily="18" charset="0"/>
                    </a:rPr>
                    <m:t>s</m:t>
                  </m:r>
                </m:oMath>
              </a14:m>
              <a:r>
                <a:rPr lang="en-US" sz="1100"/>
                <a:t> and multiply by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acc>
                        <m:accPr>
                          <m:chr m:val="̇"/>
                          <m:ctrlPr>
                            <a:rPr lang="en-US" sz="110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e>
                      </m:acc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</m:sub>
                    <m: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′</m:t>
                      </m:r>
                    </m:sup>
                  </m:sSubSup>
                  <m:r>
                    <a:rPr lang="en-US" sz="1100" b="0" i="1">
                      <a:latin typeface="Cambria Math" panose="02040503050406030204" pitchFamily="18" charset="0"/>
                    </a:rPr>
                    <m:t>𝑠</m:t>
                  </m:r>
                </m:oMath>
              </a14:m>
              <a:r>
                <a:rPr lang="en-US" sz="1100"/>
                <a:t>.</a:t>
              </a:r>
            </a:p>
            <a:p>
              <a:r>
                <a:rPr lang="en-US" sz="1100"/>
                <a:t>Remeber to convert from lb moles to gram moles.</a:t>
              </a:r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5E2B1FB-5D7B-4851-88DF-27BBE7104558}"/>
                </a:ext>
              </a:extLst>
            </xdr:cNvPr>
            <xdr:cNvSpPr txBox="1"/>
          </xdr:nvSpPr>
          <xdr:spPr>
            <a:xfrm>
              <a:off x="3686175" y="5334000"/>
              <a:ext cx="4849148" cy="444930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/>
                <a:t>6. From heat capacities and heats of formation, calculate </a:t>
              </a:r>
              <a:r>
                <a:rPr lang="en-US" sz="1100" b="0" i="0">
                  <a:latin typeface="Cambria Math" panose="02040503050406030204" pitchFamily="18" charset="0"/>
                </a:rPr>
                <a:t>𝐻 ̂_𝑖^′ s</a:t>
              </a:r>
              <a:r>
                <a:rPr lang="en-US" sz="1100"/>
                <a:t> and multiply by </a:t>
              </a:r>
              <a:r>
                <a:rPr lang="en-US" sz="1100" b="0" i="0">
                  <a:latin typeface="Cambria Math" panose="02040503050406030204" pitchFamily="18" charset="0"/>
                </a:rPr>
                <a:t>𝑛 ̇_𝑖^′ 𝑠</a:t>
              </a:r>
              <a:r>
                <a:rPr lang="en-US" sz="1100"/>
                <a:t>.</a:t>
              </a:r>
            </a:p>
            <a:p>
              <a:r>
                <a:rPr lang="en-US" sz="1100"/>
                <a:t>Remeber to convert from lb moles to gram moles.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29</xdr:row>
      <xdr:rowOff>104775</xdr:rowOff>
    </xdr:from>
    <xdr:to>
      <xdr:col>3</xdr:col>
      <xdr:colOff>714375</xdr:colOff>
      <xdr:row>37</xdr:row>
      <xdr:rowOff>19050</xdr:rowOff>
    </xdr:to>
    <xdr:sp macro="" textlink="">
      <xdr:nvSpPr>
        <xdr:cNvPr id="8221" name="AutoShape 1">
          <a:extLst>
            <a:ext uri="{FF2B5EF4-FFF2-40B4-BE49-F238E27FC236}">
              <a16:creationId xmlns:a16="http://schemas.microsoft.com/office/drawing/2014/main" id="{256EED99-2B3C-4AAA-8A54-58F362174B0D}"/>
            </a:ext>
          </a:extLst>
        </xdr:cNvPr>
        <xdr:cNvSpPr>
          <a:spLocks noChangeArrowheads="1"/>
        </xdr:cNvSpPr>
      </xdr:nvSpPr>
      <xdr:spPr bwMode="auto">
        <a:xfrm rot="-7687370">
          <a:off x="1524000" y="5029200"/>
          <a:ext cx="1209675" cy="885825"/>
        </a:xfrm>
        <a:prstGeom prst="rightArrow">
          <a:avLst>
            <a:gd name="adj1" fmla="val 50000"/>
            <a:gd name="adj2" fmla="val 34140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438150</xdr:colOff>
      <xdr:row>29</xdr:row>
      <xdr:rowOff>85725</xdr:rowOff>
    </xdr:from>
    <xdr:to>
      <xdr:col>5</xdr:col>
      <xdr:colOff>657225</xdr:colOff>
      <xdr:row>37</xdr:row>
      <xdr:rowOff>9525</xdr:rowOff>
    </xdr:to>
    <xdr:sp macro="" textlink="">
      <xdr:nvSpPr>
        <xdr:cNvPr id="8222" name="AutoShape 2">
          <a:extLst>
            <a:ext uri="{FF2B5EF4-FFF2-40B4-BE49-F238E27FC236}">
              <a16:creationId xmlns:a16="http://schemas.microsoft.com/office/drawing/2014/main" id="{20D43615-6667-459A-A2DA-0CEAEC8EC818}"/>
            </a:ext>
          </a:extLst>
        </xdr:cNvPr>
        <xdr:cNvSpPr>
          <a:spLocks noChangeArrowheads="1"/>
        </xdr:cNvSpPr>
      </xdr:nvSpPr>
      <xdr:spPr bwMode="auto">
        <a:xfrm rot="-7687370">
          <a:off x="2952750" y="5019675"/>
          <a:ext cx="1219200" cy="876300"/>
        </a:xfrm>
        <a:prstGeom prst="rightArrow">
          <a:avLst>
            <a:gd name="adj1" fmla="val 50000"/>
            <a:gd name="adj2" fmla="val 3478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342900</xdr:colOff>
      <xdr:row>38</xdr:row>
      <xdr:rowOff>19050</xdr:rowOff>
    </xdr:from>
    <xdr:ext cx="8092386" cy="151514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5B5489F-19B9-4501-9755-D5841CE788C9}"/>
                </a:ext>
              </a:extLst>
            </xdr:cNvPr>
            <xdr:cNvSpPr txBox="1"/>
          </xdr:nvSpPr>
          <xdr:spPr>
            <a:xfrm>
              <a:off x="952500" y="6238875"/>
              <a:ext cx="7502118" cy="619400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/>
                <a:t>7. From given heating value of coal, convert to heat released</a:t>
              </a:r>
              <a:r>
                <a:rPr lang="en-US" sz="1100" baseline="0"/>
                <a:t> by burning coal in kJ/hr.</a:t>
              </a:r>
            </a:p>
            <a:p>
              <a:r>
                <a:rPr lang="en-US" sz="1100" baseline="0"/>
                <a:t>Look up heat of vaporization of water. Multiply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n-US" sz="1100" b="0" i="0" baseline="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en-US" sz="1100" b="0" i="1" baseline="0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en-US" sz="1100" b="0" i="1" baseline="0">
                          <a:latin typeface="Cambria Math" panose="02040503050406030204" pitchFamily="18" charset="0"/>
                        </a:rPr>
                        <m:t>𝑣𝑎𝑝</m:t>
                      </m:r>
                    </m:sub>
                  </m:sSub>
                </m:oMath>
              </a14:m>
              <a:r>
                <a:rPr lang="en-US" sz="1100"/>
                <a:t> by moisture in coal plus moisture formed from combustion.</a:t>
              </a:r>
            </a:p>
            <a:p>
              <a:r>
                <a:rPr lang="en-US" sz="1100"/>
                <a:t>This is because the high heating values was given on a wet, ash-included basis, assuming that all H2O</a:t>
              </a:r>
              <a:r>
                <a:rPr lang="en-US" sz="1100" baseline="0"/>
                <a:t> formed goes to H2O liquid.</a:t>
              </a:r>
              <a:endParaRPr lang="en-US" sz="11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5B5489F-19B9-4501-9755-D5841CE788C9}"/>
                </a:ext>
              </a:extLst>
            </xdr:cNvPr>
            <xdr:cNvSpPr txBox="1"/>
          </xdr:nvSpPr>
          <xdr:spPr>
            <a:xfrm>
              <a:off x="952500" y="6238875"/>
              <a:ext cx="7502118" cy="619400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/>
                <a:t>7. From given heating value of coal, convert to heat released</a:t>
              </a:r>
              <a:r>
                <a:rPr lang="en-US" sz="1100" baseline="0"/>
                <a:t> by burning coal in kJ/hr.</a:t>
              </a:r>
            </a:p>
            <a:p>
              <a:r>
                <a:rPr lang="en-US" sz="1100" baseline="0"/>
                <a:t>Look up heat of vaporization of water. Multiply </a:t>
              </a:r>
              <a:r>
                <a:rPr lang="en-US" sz="1100" b="0" i="0" baseline="0">
                  <a:latin typeface="Cambria Math" panose="02040503050406030204" pitchFamily="18" charset="0"/>
                </a:rPr>
                <a:t>Δ𝐻_𝑣𝑎𝑝</a:t>
              </a:r>
              <a:r>
                <a:rPr lang="en-US" sz="1100"/>
                <a:t> by moisture in coal plus moisture formed from combustion.</a:t>
              </a:r>
            </a:p>
            <a:p>
              <a:r>
                <a:rPr lang="en-US" sz="1100"/>
                <a:t>This is because the high heating values was given on a wet, ash-included basis, assuming that all H2O</a:t>
              </a:r>
              <a:r>
                <a:rPr lang="en-US" sz="1100" baseline="0"/>
                <a:t> formed goes to H2O liquid.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29</xdr:row>
      <xdr:rowOff>123825</xdr:rowOff>
    </xdr:from>
    <xdr:to>
      <xdr:col>9</xdr:col>
      <xdr:colOff>47625</xdr:colOff>
      <xdr:row>35</xdr:row>
      <xdr:rowOff>19050</xdr:rowOff>
    </xdr:to>
    <xdr:sp macro="" textlink="">
      <xdr:nvSpPr>
        <xdr:cNvPr id="9230" name="AutoShape 1">
          <a:extLst>
            <a:ext uri="{FF2B5EF4-FFF2-40B4-BE49-F238E27FC236}">
              <a16:creationId xmlns:a16="http://schemas.microsoft.com/office/drawing/2014/main" id="{A06FC642-BA22-48E2-8F7B-AFB93D3F9E37}"/>
            </a:ext>
          </a:extLst>
        </xdr:cNvPr>
        <xdr:cNvSpPr>
          <a:spLocks noChangeArrowheads="1"/>
        </xdr:cNvSpPr>
      </xdr:nvSpPr>
      <xdr:spPr bwMode="auto">
        <a:xfrm rot="10800000">
          <a:off x="4914900" y="4886325"/>
          <a:ext cx="1247775" cy="866775"/>
        </a:xfrm>
        <a:prstGeom prst="rightArrow">
          <a:avLst>
            <a:gd name="adj1" fmla="val 50000"/>
            <a:gd name="adj2" fmla="val 35989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35</xdr:row>
          <xdr:rowOff>123825</xdr:rowOff>
        </xdr:from>
        <xdr:to>
          <xdr:col>12</xdr:col>
          <xdr:colOff>133350</xdr:colOff>
          <xdr:row>41</xdr:row>
          <xdr:rowOff>47625</xdr:rowOff>
        </xdr:to>
        <xdr:sp macro="" textlink="">
          <xdr:nvSpPr>
            <xdr:cNvPr id="9226" name="Object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A79F9877-47EC-42BF-B897-CCDE8344E2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000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31</xdr:row>
      <xdr:rowOff>85725</xdr:rowOff>
    </xdr:from>
    <xdr:to>
      <xdr:col>5</xdr:col>
      <xdr:colOff>19050</xdr:colOff>
      <xdr:row>38</xdr:row>
      <xdr:rowOff>95250</xdr:rowOff>
    </xdr:to>
    <xdr:sp macro="" textlink="">
      <xdr:nvSpPr>
        <xdr:cNvPr id="10256" name="AutoShape 1">
          <a:extLst>
            <a:ext uri="{FF2B5EF4-FFF2-40B4-BE49-F238E27FC236}">
              <a16:creationId xmlns:a16="http://schemas.microsoft.com/office/drawing/2014/main" id="{CFA4079D-C890-42CB-891D-091C6CA68FC7}"/>
            </a:ext>
          </a:extLst>
        </xdr:cNvPr>
        <xdr:cNvSpPr>
          <a:spLocks noChangeArrowheads="1"/>
        </xdr:cNvSpPr>
      </xdr:nvSpPr>
      <xdr:spPr bwMode="auto">
        <a:xfrm>
          <a:off x="1876425" y="5172075"/>
          <a:ext cx="1485900" cy="1143000"/>
        </a:xfrm>
        <a:prstGeom prst="irregularSeal1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5</xdr:col>
      <xdr:colOff>304800</xdr:colOff>
      <xdr:row>33</xdr:row>
      <xdr:rowOff>114300</xdr:rowOff>
    </xdr:from>
    <xdr:ext cx="264322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DD5C90-5FE9-49CD-9D47-B939A96A88F8}"/>
            </a:ext>
          </a:extLst>
        </xdr:cNvPr>
        <xdr:cNvSpPr txBox="1"/>
      </xdr:nvSpPr>
      <xdr:spPr>
        <a:xfrm>
          <a:off x="3648075" y="5524500"/>
          <a:ext cx="2643224" cy="26456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9. Multiply Q</a:t>
          </a:r>
          <a:r>
            <a:rPr lang="en-US" sz="1100" baseline="0"/>
            <a:t> by efficiency to get electricity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="120" zoomScaleNormal="120" workbookViewId="0">
      <selection activeCell="A12" sqref="A12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D2" t="s">
        <v>61</v>
      </c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/>
      <c r="D4" s="4"/>
      <c r="E4" s="4"/>
      <c r="G4" s="4"/>
    </row>
    <row r="5" spans="1:11" x14ac:dyDescent="0.2">
      <c r="A5" t="s">
        <v>3</v>
      </c>
      <c r="B5" s="2">
        <v>5.7599999999999998E-2</v>
      </c>
      <c r="C5" s="3"/>
      <c r="D5" s="4"/>
      <c r="E5" s="4"/>
      <c r="G5" s="4"/>
    </row>
    <row r="6" spans="1:11" x14ac:dyDescent="0.2">
      <c r="A6" t="s">
        <v>4</v>
      </c>
      <c r="B6" s="2">
        <v>0.1158</v>
      </c>
      <c r="C6" s="3"/>
      <c r="D6" s="4"/>
      <c r="E6" s="4"/>
      <c r="G6" s="4"/>
    </row>
    <row r="7" spans="1:11" x14ac:dyDescent="0.2">
      <c r="A7" t="s">
        <v>5</v>
      </c>
      <c r="B7" s="2">
        <v>1.5699999999999999E-2</v>
      </c>
      <c r="C7" s="3"/>
      <c r="D7" s="4"/>
      <c r="E7" s="4"/>
      <c r="G7" s="4"/>
    </row>
    <row r="8" spans="1:11" x14ac:dyDescent="0.2">
      <c r="A8" t="s">
        <v>6</v>
      </c>
      <c r="B8" s="2">
        <v>3.7000000000000002E-3</v>
      </c>
      <c r="C8" s="3"/>
      <c r="D8" s="4"/>
      <c r="E8" s="4"/>
      <c r="G8" s="4"/>
    </row>
    <row r="9" spans="1:11" x14ac:dyDescent="0.2">
      <c r="B9" s="2">
        <f>SUM(B4:B8)</f>
        <v>1</v>
      </c>
      <c r="D9" s="4"/>
      <c r="F9" s="10"/>
      <c r="G9" s="11"/>
      <c r="H9" s="12"/>
      <c r="I9" s="13"/>
    </row>
    <row r="10" spans="1:11" x14ac:dyDescent="0.2">
      <c r="A10" t="s">
        <v>65</v>
      </c>
      <c r="B10" s="2">
        <v>4.4900000000000002E-2</v>
      </c>
      <c r="C10" s="2"/>
      <c r="D10" s="4"/>
      <c r="F10" s="14"/>
      <c r="G10" s="15"/>
      <c r="H10" s="16"/>
      <c r="I10" s="17"/>
    </row>
    <row r="11" spans="1:11" x14ac:dyDescent="0.2">
      <c r="A11" t="s">
        <v>66</v>
      </c>
      <c r="B11" s="2">
        <v>4.6300000000000001E-2</v>
      </c>
      <c r="C11" s="2"/>
      <c r="D11" s="4"/>
      <c r="E11" s="4"/>
      <c r="F11" s="14"/>
      <c r="G11" s="15"/>
      <c r="H11" s="16"/>
      <c r="I11" s="17"/>
    </row>
    <row r="12" spans="1:11" x14ac:dyDescent="0.2">
      <c r="B12" s="2">
        <f>SUM(B10:B11)</f>
        <v>9.1200000000000003E-2</v>
      </c>
      <c r="C12" s="2"/>
      <c r="F12" s="14"/>
      <c r="G12" s="15"/>
      <c r="H12" s="16"/>
      <c r="I12" s="17"/>
    </row>
    <row r="13" spans="1:11" x14ac:dyDescent="0.2">
      <c r="F13" s="14"/>
      <c r="G13" s="15"/>
      <c r="H13" s="16"/>
      <c r="I13" s="17"/>
    </row>
    <row r="14" spans="1:11" x14ac:dyDescent="0.2">
      <c r="F14" s="14"/>
      <c r="G14" s="15"/>
      <c r="H14" s="16"/>
      <c r="I14" s="17"/>
    </row>
    <row r="15" spans="1:11" x14ac:dyDescent="0.2">
      <c r="F15" s="14"/>
      <c r="G15" s="15"/>
      <c r="H15" s="16"/>
      <c r="I15" s="17"/>
    </row>
    <row r="16" spans="1:11" x14ac:dyDescent="0.2">
      <c r="F16" s="14"/>
      <c r="G16" s="15"/>
      <c r="H16" s="16"/>
      <c r="I16" s="17"/>
    </row>
    <row r="17" spans="1:13" x14ac:dyDescent="0.2">
      <c r="F17" s="18"/>
      <c r="G17" s="19"/>
      <c r="H17" s="20"/>
      <c r="I17" s="21"/>
    </row>
    <row r="19" spans="1:13" x14ac:dyDescent="0.2">
      <c r="A19" s="41"/>
      <c r="B19" s="22"/>
      <c r="C19" s="22"/>
      <c r="D19" s="22"/>
      <c r="E19" s="22"/>
      <c r="F19" s="22"/>
      <c r="G19" s="22"/>
      <c r="H19" s="22"/>
      <c r="I19" s="23"/>
      <c r="K19" s="47"/>
    </row>
    <row r="20" spans="1:13" x14ac:dyDescent="0.2">
      <c r="A20" s="24"/>
      <c r="B20" s="25"/>
      <c r="C20" s="25"/>
      <c r="D20" s="25"/>
      <c r="E20" s="25"/>
      <c r="F20" s="25"/>
      <c r="G20" s="26"/>
      <c r="H20" s="25"/>
      <c r="I20" s="27"/>
      <c r="J20" s="45"/>
      <c r="K20" s="47"/>
      <c r="L20" s="43"/>
    </row>
    <row r="21" spans="1:13" x14ac:dyDescent="0.2">
      <c r="A21" s="24"/>
      <c r="B21" s="25"/>
      <c r="C21" s="28"/>
      <c r="D21" s="28"/>
      <c r="E21" s="28"/>
      <c r="F21" s="28"/>
      <c r="G21" s="26"/>
      <c r="H21" s="29"/>
      <c r="I21" s="27"/>
      <c r="J21" s="46"/>
      <c r="K21" s="48"/>
      <c r="L21" s="44"/>
    </row>
    <row r="22" spans="1:13" x14ac:dyDescent="0.2">
      <c r="A22" s="24"/>
      <c r="B22" s="25"/>
      <c r="C22" s="28"/>
      <c r="D22" s="28"/>
      <c r="E22" s="28"/>
      <c r="F22" s="28"/>
      <c r="G22" s="26"/>
      <c r="H22" s="29"/>
      <c r="I22" s="30"/>
      <c r="J22" s="46"/>
      <c r="K22" s="48"/>
      <c r="L22" s="44"/>
    </row>
    <row r="23" spans="1:13" x14ac:dyDescent="0.2">
      <c r="A23" s="24"/>
      <c r="B23" s="25"/>
      <c r="C23" s="28"/>
      <c r="D23" s="28"/>
      <c r="E23" s="28"/>
      <c r="F23" s="28"/>
      <c r="G23" s="26"/>
      <c r="H23" s="29"/>
      <c r="I23" s="27"/>
      <c r="J23" s="46"/>
      <c r="K23" s="48"/>
      <c r="L23" s="44"/>
    </row>
    <row r="24" spans="1:13" x14ac:dyDescent="0.2">
      <c r="A24" s="24"/>
      <c r="B24" s="25"/>
      <c r="C24" s="28"/>
      <c r="D24" s="28"/>
      <c r="E24" s="28"/>
      <c r="F24" s="28"/>
      <c r="G24" s="26"/>
      <c r="H24" s="29"/>
      <c r="I24" s="30"/>
      <c r="J24" s="46"/>
      <c r="K24" s="48"/>
      <c r="L24" s="44"/>
    </row>
    <row r="25" spans="1:13" x14ac:dyDescent="0.2">
      <c r="A25" s="24"/>
      <c r="B25" s="25"/>
      <c r="C25" s="25"/>
      <c r="D25" s="25"/>
      <c r="E25" s="25"/>
      <c r="F25" s="25"/>
      <c r="G25" s="25"/>
      <c r="H25" s="25"/>
      <c r="I25" s="27"/>
      <c r="J25" s="45"/>
      <c r="K25" s="47"/>
      <c r="L25" s="44"/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/>
      <c r="K26" s="47"/>
      <c r="L26" s="43"/>
    </row>
    <row r="27" spans="1:13" x14ac:dyDescent="0.2">
      <c r="A27" s="31"/>
      <c r="B27" s="32"/>
      <c r="C27" s="33"/>
      <c r="D27" s="32"/>
      <c r="E27" s="32"/>
      <c r="F27" s="32"/>
      <c r="G27" s="32"/>
      <c r="H27" s="32"/>
      <c r="I27" s="34"/>
      <c r="J27" s="46"/>
      <c r="K27" s="47"/>
      <c r="L27" s="44"/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B29" s="6"/>
      <c r="C29" s="1"/>
      <c r="D29" s="1"/>
      <c r="E29" s="1"/>
      <c r="F29" s="1"/>
      <c r="G29" s="7"/>
      <c r="H29" s="8"/>
      <c r="I29" s="9"/>
      <c r="K29" s="43"/>
      <c r="L29" s="44"/>
      <c r="M29" s="43" t="s">
        <v>47</v>
      </c>
    </row>
    <row r="30" spans="1:13" x14ac:dyDescent="0.2">
      <c r="A30" t="s">
        <v>50</v>
      </c>
      <c r="C30">
        <f>13280</f>
        <v>13280</v>
      </c>
      <c r="D30" t="s">
        <v>51</v>
      </c>
      <c r="E30" s="1"/>
    </row>
    <row r="31" spans="1:13" x14ac:dyDescent="0.2">
      <c r="A31" s="42" t="s">
        <v>52</v>
      </c>
      <c r="B31" s="1"/>
      <c r="C31" s="1"/>
      <c r="D31" s="1"/>
      <c r="E31" s="1"/>
      <c r="F31" s="1"/>
      <c r="G31" s="7"/>
    </row>
    <row r="32" spans="1:13" x14ac:dyDescent="0.2">
      <c r="B32" s="1"/>
    </row>
    <row r="33" spans="1:7" x14ac:dyDescent="0.2">
      <c r="B33" s="37"/>
      <c r="C33" s="38"/>
      <c r="D33" s="38"/>
      <c r="E33" s="38"/>
      <c r="F33" s="38"/>
      <c r="G33" s="38"/>
    </row>
    <row r="34" spans="1:7" x14ac:dyDescent="0.2">
      <c r="B34" s="1"/>
    </row>
    <row r="35" spans="1:7" x14ac:dyDescent="0.2">
      <c r="A35" s="39"/>
      <c r="B35" s="39"/>
      <c r="C35" s="39"/>
      <c r="D35" s="40"/>
      <c r="E35" s="39"/>
    </row>
  </sheetData>
  <phoneticPr fontId="4" type="noConversion"/>
  <pageMargins left="0.75" right="0.75" top="1" bottom="1" header="0.5" footer="0.5"/>
  <pageSetup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K14" sqref="K14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2" ht="18" x14ac:dyDescent="0.25">
      <c r="A1" s="5" t="s">
        <v>0</v>
      </c>
    </row>
    <row r="2" spans="1:12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2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8" t="s">
        <v>35</v>
      </c>
      <c r="J3" s="38">
        <v>700</v>
      </c>
      <c r="K3" s="38" t="s">
        <v>2</v>
      </c>
      <c r="L3" s="38" t="s">
        <v>60</v>
      </c>
    </row>
    <row r="4" spans="1:12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F4">
        <v>1</v>
      </c>
      <c r="G4" s="4">
        <f>F4*E4</f>
        <v>61131.946666666663</v>
      </c>
    </row>
    <row r="5" spans="1:12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F5">
        <f>1/4</f>
        <v>0.25</v>
      </c>
      <c r="G5" s="4">
        <f>F5*E5</f>
        <v>6543.36</v>
      </c>
    </row>
    <row r="6" spans="1:12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F6">
        <v>-0.5</v>
      </c>
      <c r="G6" s="4">
        <f>F6*E6</f>
        <v>-3288.7200000000003</v>
      </c>
    </row>
    <row r="7" spans="1:12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F7">
        <v>0</v>
      </c>
      <c r="G7" s="4">
        <f>F7*E7</f>
        <v>0</v>
      </c>
    </row>
    <row r="8" spans="1:12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F8">
        <v>1</v>
      </c>
      <c r="G8" s="4">
        <f>F8*E8</f>
        <v>105.08000000000001</v>
      </c>
    </row>
    <row r="9" spans="1:12" x14ac:dyDescent="0.2">
      <c r="B9" s="2">
        <f>SUM(B4:B8)</f>
        <v>1</v>
      </c>
      <c r="D9" s="4"/>
      <c r="F9" s="10" t="s">
        <v>13</v>
      </c>
      <c r="G9" s="11">
        <f>SUM(G4:G8)</f>
        <v>64491.666666666657</v>
      </c>
      <c r="H9" s="12" t="s">
        <v>39</v>
      </c>
      <c r="I9" s="13"/>
    </row>
    <row r="10" spans="1:12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>
        <f>G9*32</f>
        <v>2063733.333333333</v>
      </c>
      <c r="H10" s="16" t="s">
        <v>15</v>
      </c>
      <c r="I10" s="17"/>
    </row>
    <row r="11" spans="1:12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 t="s">
        <v>32</v>
      </c>
      <c r="G11" s="15">
        <f>1.06*G9</f>
        <v>68361.166666666657</v>
      </c>
      <c r="H11" s="16" t="s">
        <v>39</v>
      </c>
      <c r="I11" s="17"/>
    </row>
    <row r="12" spans="1:12" x14ac:dyDescent="0.2">
      <c r="B12" s="2">
        <f>SUM(B10:B11)</f>
        <v>9.1200000000000003E-2</v>
      </c>
      <c r="C12" s="2">
        <f>SUM(C4:C11)</f>
        <v>1</v>
      </c>
      <c r="F12" s="14"/>
      <c r="G12" s="15">
        <f>G11*32</f>
        <v>2187557.333333333</v>
      </c>
      <c r="H12" s="16" t="s">
        <v>15</v>
      </c>
      <c r="I12" s="17"/>
    </row>
    <row r="13" spans="1:12" x14ac:dyDescent="0.2">
      <c r="F13" s="14" t="s">
        <v>14</v>
      </c>
      <c r="G13" s="15">
        <f>G11/0.21*0.79+E7/2</f>
        <v>257677.7755555555</v>
      </c>
      <c r="H13" s="16" t="s">
        <v>40</v>
      </c>
      <c r="I13" s="17"/>
    </row>
    <row r="14" spans="1:12" x14ac:dyDescent="0.2">
      <c r="F14" s="14"/>
      <c r="G14" s="15">
        <f>G13*28</f>
        <v>7214977.7155555543</v>
      </c>
      <c r="H14" s="16" t="s">
        <v>16</v>
      </c>
      <c r="I14" s="17"/>
    </row>
    <row r="15" spans="1:12" x14ac:dyDescent="0.2">
      <c r="F15" s="14" t="s">
        <v>17</v>
      </c>
      <c r="G15" s="15">
        <f>E4</f>
        <v>61131.946666666663</v>
      </c>
      <c r="H15" s="16" t="s">
        <v>41</v>
      </c>
      <c r="I15" s="17"/>
    </row>
    <row r="16" spans="1:12" x14ac:dyDescent="0.2">
      <c r="F16" s="14" t="s">
        <v>18</v>
      </c>
      <c r="G16" s="15">
        <f>E5/2+E11</f>
        <v>15658.942222222222</v>
      </c>
      <c r="H16" s="16" t="s">
        <v>42</v>
      </c>
      <c r="I16" s="17"/>
    </row>
    <row r="17" spans="1:13" x14ac:dyDescent="0.2">
      <c r="F17" s="18" t="s">
        <v>19</v>
      </c>
      <c r="G17" s="19">
        <f>E8</f>
        <v>105.08000000000001</v>
      </c>
      <c r="H17" s="20" t="s">
        <v>43</v>
      </c>
      <c r="I17" s="21"/>
    </row>
    <row r="19" spans="1:13" x14ac:dyDescent="0.2">
      <c r="A19" s="41" t="s">
        <v>20</v>
      </c>
      <c r="B19" s="22"/>
      <c r="C19" s="22"/>
      <c r="D19" s="22"/>
      <c r="E19" s="22"/>
      <c r="F19" s="22"/>
      <c r="G19" s="22"/>
      <c r="H19" s="22"/>
      <c r="I19" s="23"/>
      <c r="K19" s="47" t="s">
        <v>56</v>
      </c>
    </row>
    <row r="20" spans="1:13" x14ac:dyDescent="0.2">
      <c r="A20" s="24"/>
      <c r="B20" s="25"/>
      <c r="C20" s="25" t="s">
        <v>24</v>
      </c>
      <c r="D20" s="25" t="s">
        <v>25</v>
      </c>
      <c r="E20" s="25" t="s">
        <v>26</v>
      </c>
      <c r="F20" s="25" t="s">
        <v>27</v>
      </c>
      <c r="G20" s="26" t="s">
        <v>28</v>
      </c>
      <c r="H20" s="25" t="s">
        <v>29</v>
      </c>
      <c r="I20" s="27" t="s">
        <v>30</v>
      </c>
      <c r="J20" s="45" t="s">
        <v>44</v>
      </c>
      <c r="K20" s="47" t="s">
        <v>33</v>
      </c>
      <c r="L20" s="43" t="s">
        <v>38</v>
      </c>
    </row>
    <row r="21" spans="1:13" x14ac:dyDescent="0.2">
      <c r="A21" s="24"/>
      <c r="B21" s="25" t="s">
        <v>31</v>
      </c>
      <c r="C21" s="28">
        <v>3.6110000000000003E-2</v>
      </c>
      <c r="D21" s="28">
        <v>4.2330000000000003E-5</v>
      </c>
      <c r="E21" s="28">
        <v>-2.887E-8</v>
      </c>
      <c r="F21" s="28">
        <v>7.4639999999999997E-12</v>
      </c>
      <c r="G21" s="26" t="s">
        <v>2</v>
      </c>
      <c r="H21" s="29">
        <v>1</v>
      </c>
      <c r="I21" s="27">
        <v>-393.5</v>
      </c>
      <c r="J21" s="46">
        <f>G15*454</f>
        <v>27753903.786666665</v>
      </c>
      <c r="K21" s="48">
        <f>C21*($J$3-$J$2)+D21/2*($J$3^2-$J$2^2)+E21/3*($J$3^3-$J$2^3)+F21/4*($J$3^4-$J$2^4)</f>
        <v>31.879244777343754</v>
      </c>
      <c r="L21" s="44">
        <f>J21*K21</f>
        <v>884773492.34199429</v>
      </c>
    </row>
    <row r="22" spans="1:13" x14ac:dyDescent="0.2">
      <c r="A22" s="24"/>
      <c r="B22" s="25" t="s">
        <v>21</v>
      </c>
      <c r="C22" s="28">
        <v>3.3459999999999997E-2</v>
      </c>
      <c r="D22" s="28">
        <v>6.8800000000000002E-6</v>
      </c>
      <c r="E22" s="28">
        <v>7.6039999999999998E-9</v>
      </c>
      <c r="F22" s="28">
        <v>-3.5930000000000001E-12</v>
      </c>
      <c r="G22" s="26" t="s">
        <v>2</v>
      </c>
      <c r="H22" s="29">
        <v>1</v>
      </c>
      <c r="I22" s="30">
        <v>-241.83</v>
      </c>
      <c r="J22" s="46">
        <f>G16*454</f>
        <v>7109159.7688888889</v>
      </c>
      <c r="K22" s="48">
        <f>C22*($J$3-$J$2)+D22/2*($J$3^2-$J$2^2)+E22/3*($J$3^3-$J$2^3)+F22/4*($J$3^4-$J$2^4)</f>
        <v>24.922631588378906</v>
      </c>
      <c r="L22" s="44">
        <f>J22*K22</f>
        <v>177178969.8229427</v>
      </c>
    </row>
    <row r="23" spans="1:13" x14ac:dyDescent="0.2">
      <c r="A23" s="24"/>
      <c r="B23" s="25" t="s">
        <v>23</v>
      </c>
      <c r="C23" s="28">
        <v>2.9100000000000001E-2</v>
      </c>
      <c r="D23" s="28">
        <v>1.1579999999999999E-5</v>
      </c>
      <c r="E23" s="28">
        <v>-6.0760000000000001E-9</v>
      </c>
      <c r="F23" s="28">
        <v>1.311E-12</v>
      </c>
      <c r="G23" s="26" t="s">
        <v>2</v>
      </c>
      <c r="H23" s="29">
        <v>1</v>
      </c>
      <c r="I23" s="27">
        <v>0</v>
      </c>
      <c r="J23" s="46">
        <f>(G11-G9)*454</f>
        <v>1756753</v>
      </c>
      <c r="K23" s="48">
        <f>C23*($J$3-$J$2)+D23/2*($J$3^2-$J$2^2)+E23/3*($J$3^3-$J$2^3)+F23/4*($J$3^4-$J$2^4)</f>
        <v>21.860016209472654</v>
      </c>
      <c r="L23" s="44">
        <f>J23*K23</f>
        <v>38402649.056039713</v>
      </c>
    </row>
    <row r="24" spans="1:13" x14ac:dyDescent="0.2">
      <c r="A24" s="24"/>
      <c r="B24" s="25" t="s">
        <v>22</v>
      </c>
      <c r="C24" s="28">
        <v>2.9000000000000001E-2</v>
      </c>
      <c r="D24" s="28">
        <v>2.199E-6</v>
      </c>
      <c r="E24" s="28">
        <v>5.7230000000000002E-9</v>
      </c>
      <c r="F24" s="28">
        <v>-2.8710000000000002E-12</v>
      </c>
      <c r="G24" s="26" t="s">
        <v>2</v>
      </c>
      <c r="H24" s="29">
        <v>1</v>
      </c>
      <c r="I24" s="30">
        <v>0</v>
      </c>
      <c r="J24" s="46">
        <f>G13*454</f>
        <v>116985710.1022222</v>
      </c>
      <c r="K24" s="48">
        <f>C24*($J$3-$J$2)+D24/2*($J$3^2-$J$2^2)+E24/3*($J$3^3-$J$2^3)+F24/4*($J$3^4-$J$2^4)</f>
        <v>20.595036177246094</v>
      </c>
      <c r="L24" s="44">
        <f>J24*K24</f>
        <v>2409324931.7760901</v>
      </c>
    </row>
    <row r="25" spans="1:13" x14ac:dyDescent="0.2">
      <c r="A25" s="24"/>
      <c r="B25" s="49" t="s">
        <v>62</v>
      </c>
      <c r="C25" s="50">
        <v>3.891E-2</v>
      </c>
      <c r="D25" s="50">
        <v>3.9004000000000001E-5</v>
      </c>
      <c r="E25" s="50">
        <v>-3.1039999999999999E-8</v>
      </c>
      <c r="F25" s="50">
        <v>8.6059999999999995E-12</v>
      </c>
      <c r="G25" s="51" t="s">
        <v>2</v>
      </c>
      <c r="H25" s="52">
        <v>1</v>
      </c>
      <c r="I25" s="53">
        <v>-296.60000000000002</v>
      </c>
      <c r="J25" s="46">
        <f>G17*454</f>
        <v>47706.320000000007</v>
      </c>
      <c r="K25" s="48">
        <f>C25*($J$3-$J$2)+D25/2*($J$3^2-$J$2^2)+E25/3*($J$3^3-$J$2^3)+F25/4*($J$3^4-$J$2^4)</f>
        <v>32.775870559570315</v>
      </c>
      <c r="L25" s="44">
        <f>J25*K25</f>
        <v>1563616.1691934408</v>
      </c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 t="s">
        <v>46</v>
      </c>
      <c r="K26" s="47" t="s">
        <v>57</v>
      </c>
      <c r="L26" s="43"/>
    </row>
    <row r="27" spans="1:13" x14ac:dyDescent="0.2">
      <c r="A27" s="31"/>
      <c r="B27" s="32" t="s">
        <v>7</v>
      </c>
      <c r="C27" s="33">
        <v>0.8</v>
      </c>
      <c r="D27" s="32" t="s">
        <v>45</v>
      </c>
      <c r="E27" s="32"/>
      <c r="F27" s="32"/>
      <c r="G27" s="32"/>
      <c r="H27" s="32"/>
      <c r="I27" s="34"/>
      <c r="J27" s="46">
        <f>D10*0.454</f>
        <v>20384.600000000002</v>
      </c>
      <c r="K27" s="47">
        <f>C27*(J3-J2)</f>
        <v>540</v>
      </c>
      <c r="L27" s="44">
        <f>J27*K27</f>
        <v>11007684.000000002</v>
      </c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A29" t="s">
        <v>48</v>
      </c>
      <c r="B29" s="6"/>
      <c r="C29" s="1">
        <f>40.656</f>
        <v>40.655999999999999</v>
      </c>
      <c r="D29" s="1" t="s">
        <v>49</v>
      </c>
      <c r="E29" s="1">
        <f>C29*(E11+G16)*454</f>
        <v>336507624.63061333</v>
      </c>
      <c r="F29" s="1" t="s">
        <v>47</v>
      </c>
      <c r="G29" s="54" t="str">
        <f>Sheet7!G29</f>
        <v>(moisture plus water from combustion)</v>
      </c>
      <c r="H29" s="8"/>
      <c r="I29" s="9"/>
      <c r="K29" s="43" t="s">
        <v>36</v>
      </c>
      <c r="L29" s="44">
        <f>SUM(L21:L27)</f>
        <v>3522251343.1662602</v>
      </c>
      <c r="M29" s="43" t="s">
        <v>47</v>
      </c>
    </row>
    <row r="30" spans="1:13" x14ac:dyDescent="0.2">
      <c r="A30" t="s">
        <v>50</v>
      </c>
      <c r="C30">
        <f>13280</f>
        <v>13280</v>
      </c>
      <c r="D30" t="s">
        <v>51</v>
      </c>
      <c r="E30" s="1">
        <f>-C30/(1-B12)*A2</f>
        <v>-14612676056.338026</v>
      </c>
      <c r="F30" t="s">
        <v>47</v>
      </c>
      <c r="G30" t="s">
        <v>58</v>
      </c>
    </row>
    <row r="31" spans="1:13" x14ac:dyDescent="0.2">
      <c r="A31" s="42" t="s">
        <v>52</v>
      </c>
      <c r="B31" s="1">
        <f>E30+E29+L29</f>
        <v>-10753917088.541153</v>
      </c>
      <c r="C31" s="1" t="s">
        <v>47</v>
      </c>
      <c r="D31" s="1"/>
      <c r="E31" s="1"/>
      <c r="F31" s="1"/>
      <c r="G31" s="7"/>
    </row>
    <row r="32" spans="1:13" x14ac:dyDescent="0.2">
      <c r="B32" s="1">
        <f>B31/3600</f>
        <v>-2987199.1912614312</v>
      </c>
      <c r="C32" t="s">
        <v>53</v>
      </c>
    </row>
    <row r="33" spans="1:7" x14ac:dyDescent="0.2">
      <c r="B33" s="37">
        <f>B32/1000</f>
        <v>-2987.1991912614312</v>
      </c>
      <c r="C33" s="38" t="s">
        <v>54</v>
      </c>
      <c r="D33" s="38" t="s">
        <v>59</v>
      </c>
      <c r="E33" s="38"/>
      <c r="F33" s="38"/>
      <c r="G33" s="38"/>
    </row>
    <row r="34" spans="1:7" x14ac:dyDescent="0.2">
      <c r="B34" s="1"/>
    </row>
    <row r="35" spans="1:7" x14ac:dyDescent="0.2">
      <c r="A35" s="39" t="s">
        <v>55</v>
      </c>
      <c r="B35" s="39"/>
      <c r="C35" s="39"/>
      <c r="D35" s="40">
        <f>-B33*0.34</f>
        <v>1015.6477250288867</v>
      </c>
      <c r="E35" s="39" t="s">
        <v>54</v>
      </c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4" sqref="C4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/>
      <c r="E4" s="4"/>
      <c r="G4" s="4"/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/>
      <c r="E5" s="4"/>
      <c r="G5" s="4"/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/>
      <c r="E6" s="4"/>
      <c r="G6" s="4"/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/>
      <c r="E7" s="4"/>
      <c r="G7" s="4"/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/>
      <c r="E8" s="4"/>
      <c r="G8" s="4"/>
    </row>
    <row r="9" spans="1:11" x14ac:dyDescent="0.2">
      <c r="B9" s="2">
        <f>SUM(B4:B8)</f>
        <v>1</v>
      </c>
      <c r="D9" s="4"/>
      <c r="F9" s="10"/>
      <c r="G9" s="11"/>
      <c r="H9" s="12"/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/>
      <c r="F10" s="14"/>
      <c r="G10" s="15"/>
      <c r="H10" s="16"/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/>
      <c r="E11" s="4"/>
      <c r="F11" s="14"/>
      <c r="G11" s="15"/>
      <c r="H11" s="16"/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/>
      <c r="H12" s="16"/>
      <c r="I12" s="17"/>
    </row>
    <row r="13" spans="1:11" x14ac:dyDescent="0.2">
      <c r="F13" s="14"/>
      <c r="G13" s="15"/>
      <c r="H13" s="16"/>
      <c r="I13" s="17"/>
    </row>
    <row r="14" spans="1:11" x14ac:dyDescent="0.2">
      <c r="F14" s="14"/>
      <c r="G14" s="15"/>
      <c r="H14" s="16"/>
      <c r="I14" s="17"/>
    </row>
    <row r="15" spans="1:11" x14ac:dyDescent="0.2">
      <c r="F15" s="14"/>
      <c r="G15" s="15"/>
      <c r="H15" s="16"/>
      <c r="I15" s="17"/>
    </row>
    <row r="16" spans="1:11" x14ac:dyDescent="0.2">
      <c r="F16" s="14"/>
      <c r="G16" s="15"/>
      <c r="H16" s="16"/>
      <c r="I16" s="17"/>
    </row>
    <row r="17" spans="1:13" x14ac:dyDescent="0.2">
      <c r="F17" s="18"/>
      <c r="G17" s="19"/>
      <c r="H17" s="20"/>
      <c r="I17" s="21"/>
    </row>
    <row r="19" spans="1:13" x14ac:dyDescent="0.2">
      <c r="A19" s="41"/>
      <c r="B19" s="22"/>
      <c r="C19" s="22"/>
      <c r="D19" s="22"/>
      <c r="E19" s="22"/>
      <c r="F19" s="22"/>
      <c r="G19" s="22"/>
      <c r="H19" s="22"/>
      <c r="I19" s="23"/>
      <c r="K19" s="47"/>
    </row>
    <row r="20" spans="1:13" x14ac:dyDescent="0.2">
      <c r="A20" s="24"/>
      <c r="B20" s="25"/>
      <c r="C20" s="25"/>
      <c r="D20" s="25"/>
      <c r="E20" s="25"/>
      <c r="F20" s="25"/>
      <c r="G20" s="26"/>
      <c r="H20" s="25"/>
      <c r="I20" s="27"/>
      <c r="J20" s="45"/>
      <c r="K20" s="47"/>
      <c r="L20" s="43"/>
    </row>
    <row r="21" spans="1:13" x14ac:dyDescent="0.2">
      <c r="A21" s="24"/>
      <c r="B21" s="25"/>
      <c r="C21" s="28"/>
      <c r="D21" s="28"/>
      <c r="E21" s="28"/>
      <c r="F21" s="28"/>
      <c r="G21" s="26"/>
      <c r="H21" s="29"/>
      <c r="I21" s="27"/>
      <c r="J21" s="46"/>
      <c r="K21" s="48"/>
      <c r="L21" s="44"/>
    </row>
    <row r="22" spans="1:13" x14ac:dyDescent="0.2">
      <c r="A22" s="24"/>
      <c r="B22" s="25"/>
      <c r="C22" s="28"/>
      <c r="D22" s="28"/>
      <c r="E22" s="28"/>
      <c r="F22" s="28"/>
      <c r="G22" s="26"/>
      <c r="H22" s="29"/>
      <c r="I22" s="30"/>
      <c r="J22" s="46"/>
      <c r="K22" s="48"/>
      <c r="L22" s="44"/>
    </row>
    <row r="23" spans="1:13" x14ac:dyDescent="0.2">
      <c r="A23" s="24"/>
      <c r="B23" s="25"/>
      <c r="C23" s="28"/>
      <c r="D23" s="28"/>
      <c r="E23" s="28"/>
      <c r="F23" s="28"/>
      <c r="G23" s="26"/>
      <c r="H23" s="29"/>
      <c r="I23" s="27"/>
      <c r="J23" s="46"/>
      <c r="K23" s="48"/>
      <c r="L23" s="44"/>
    </row>
    <row r="24" spans="1:13" x14ac:dyDescent="0.2">
      <c r="A24" s="24"/>
      <c r="B24" s="25"/>
      <c r="C24" s="28"/>
      <c r="D24" s="28"/>
      <c r="E24" s="28"/>
      <c r="F24" s="28"/>
      <c r="G24" s="26"/>
      <c r="H24" s="29"/>
      <c r="I24" s="30"/>
      <c r="J24" s="46"/>
      <c r="K24" s="48"/>
      <c r="L24" s="44"/>
    </row>
    <row r="25" spans="1:13" x14ac:dyDescent="0.2">
      <c r="A25" s="24"/>
      <c r="B25" s="25"/>
      <c r="C25" s="25"/>
      <c r="D25" s="25"/>
      <c r="E25" s="25"/>
      <c r="F25" s="25"/>
      <c r="G25" s="25"/>
      <c r="H25" s="25"/>
      <c r="I25" s="27"/>
      <c r="J25" s="45"/>
      <c r="K25" s="47"/>
      <c r="L25" s="44"/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/>
      <c r="K26" s="47"/>
      <c r="L26" s="43"/>
    </row>
    <row r="27" spans="1:13" x14ac:dyDescent="0.2">
      <c r="A27" s="31"/>
      <c r="B27" s="32"/>
      <c r="C27" s="33"/>
      <c r="D27" s="32"/>
      <c r="E27" s="32"/>
      <c r="F27" s="32"/>
      <c r="G27" s="32"/>
      <c r="H27" s="32"/>
      <c r="I27" s="34"/>
      <c r="J27" s="46"/>
      <c r="K27" s="47"/>
      <c r="L27" s="44"/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B29" s="6"/>
      <c r="C29" s="1"/>
      <c r="D29" s="1"/>
      <c r="E29" s="1"/>
      <c r="F29" s="1"/>
      <c r="G29" s="7"/>
      <c r="H29" s="8"/>
      <c r="I29" s="9"/>
      <c r="K29" s="43"/>
      <c r="L29" s="44"/>
      <c r="M29" s="43" t="s">
        <v>47</v>
      </c>
    </row>
    <row r="30" spans="1:13" x14ac:dyDescent="0.2">
      <c r="A30" t="str">
        <f>Sheet1!A30</f>
        <v>Heat of combustion=</v>
      </c>
      <c r="C30">
        <f>Sheet1!C30</f>
        <v>13280</v>
      </c>
      <c r="D30" t="str">
        <f>Sheet1!D30</f>
        <v>Btu/lb as rec'd</v>
      </c>
      <c r="E30" s="1"/>
    </row>
    <row r="31" spans="1:13" x14ac:dyDescent="0.2">
      <c r="A31" s="42" t="s">
        <v>52</v>
      </c>
      <c r="B31" s="1"/>
      <c r="C31" s="1"/>
      <c r="D31" s="1"/>
      <c r="E31" s="1"/>
      <c r="F31" s="1"/>
      <c r="G31" s="7"/>
    </row>
    <row r="32" spans="1:13" x14ac:dyDescent="0.2">
      <c r="B32" s="1"/>
    </row>
    <row r="33" spans="1:7" x14ac:dyDescent="0.2">
      <c r="B33" s="37"/>
      <c r="C33" s="38"/>
      <c r="D33" s="38"/>
      <c r="E33" s="38"/>
      <c r="F33" s="38"/>
      <c r="G33" s="38"/>
    </row>
    <row r="34" spans="1:7" x14ac:dyDescent="0.2">
      <c r="B34" s="1"/>
    </row>
    <row r="35" spans="1:7" x14ac:dyDescent="0.2">
      <c r="A35" s="39"/>
      <c r="B35" s="39"/>
      <c r="C35" s="39"/>
      <c r="D35" s="40"/>
      <c r="E35" s="39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F4" sqref="F4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G4" s="4"/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G5" s="4"/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G6" s="4"/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G7" s="4"/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G8" s="4"/>
    </row>
    <row r="9" spans="1:11" x14ac:dyDescent="0.2">
      <c r="B9" s="2">
        <f>SUM(B4:B8)</f>
        <v>1</v>
      </c>
      <c r="D9" s="4"/>
      <c r="F9" s="10"/>
      <c r="G9" s="11"/>
      <c r="H9" s="12"/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/>
      <c r="H10" s="16"/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/>
      <c r="G11" s="15"/>
      <c r="H11" s="16"/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/>
      <c r="H12" s="16"/>
      <c r="I12" s="17"/>
    </row>
    <row r="13" spans="1:11" x14ac:dyDescent="0.2">
      <c r="F13" s="14"/>
      <c r="G13" s="15"/>
      <c r="H13" s="16"/>
      <c r="I13" s="17"/>
    </row>
    <row r="14" spans="1:11" x14ac:dyDescent="0.2">
      <c r="F14" s="14"/>
      <c r="G14" s="15"/>
      <c r="H14" s="16"/>
      <c r="I14" s="17"/>
    </row>
    <row r="15" spans="1:11" x14ac:dyDescent="0.2">
      <c r="F15" s="14"/>
      <c r="G15" s="15"/>
      <c r="H15" s="16"/>
      <c r="I15" s="17"/>
    </row>
    <row r="16" spans="1:11" x14ac:dyDescent="0.2">
      <c r="F16" s="14"/>
      <c r="G16" s="15"/>
      <c r="H16" s="16"/>
      <c r="I16" s="17"/>
    </row>
    <row r="17" spans="1:13" x14ac:dyDescent="0.2">
      <c r="F17" s="18"/>
      <c r="G17" s="19"/>
      <c r="H17" s="20"/>
      <c r="I17" s="21"/>
    </row>
    <row r="19" spans="1:13" x14ac:dyDescent="0.2">
      <c r="A19" s="41"/>
      <c r="B19" s="22"/>
      <c r="C19" s="22"/>
      <c r="D19" s="22"/>
      <c r="E19" s="22"/>
      <c r="F19" s="22"/>
      <c r="G19" s="22"/>
      <c r="H19" s="22"/>
      <c r="I19" s="23"/>
      <c r="K19" s="47"/>
    </row>
    <row r="20" spans="1:13" x14ac:dyDescent="0.2">
      <c r="A20" s="24"/>
      <c r="B20" s="25"/>
      <c r="C20" s="25"/>
      <c r="D20" s="25"/>
      <c r="E20" s="25"/>
      <c r="F20" s="25"/>
      <c r="G20" s="26"/>
      <c r="H20" s="25"/>
      <c r="I20" s="27"/>
      <c r="J20" s="45"/>
      <c r="K20" s="47"/>
      <c r="L20" s="43"/>
    </row>
    <row r="21" spans="1:13" x14ac:dyDescent="0.2">
      <c r="A21" s="24"/>
      <c r="B21" s="25"/>
      <c r="C21" s="28"/>
      <c r="D21" s="28"/>
      <c r="E21" s="28"/>
      <c r="F21" s="28"/>
      <c r="G21" s="26"/>
      <c r="H21" s="29"/>
      <c r="I21" s="27"/>
      <c r="J21" s="46"/>
      <c r="K21" s="48"/>
      <c r="L21" s="44"/>
    </row>
    <row r="22" spans="1:13" x14ac:dyDescent="0.2">
      <c r="A22" s="24"/>
      <c r="B22" s="25"/>
      <c r="C22" s="28"/>
      <c r="D22" s="28"/>
      <c r="E22" s="28"/>
      <c r="F22" s="28"/>
      <c r="G22" s="26"/>
      <c r="H22" s="29"/>
      <c r="I22" s="30"/>
      <c r="J22" s="46"/>
      <c r="K22" s="48"/>
      <c r="L22" s="44"/>
    </row>
    <row r="23" spans="1:13" x14ac:dyDescent="0.2">
      <c r="A23" s="24"/>
      <c r="B23" s="25"/>
      <c r="C23" s="28"/>
      <c r="D23" s="28"/>
      <c r="E23" s="28"/>
      <c r="F23" s="28"/>
      <c r="G23" s="26"/>
      <c r="H23" s="29"/>
      <c r="I23" s="27"/>
      <c r="J23" s="46"/>
      <c r="K23" s="48"/>
      <c r="L23" s="44"/>
    </row>
    <row r="24" spans="1:13" x14ac:dyDescent="0.2">
      <c r="A24" s="24"/>
      <c r="B24" s="25"/>
      <c r="C24" s="28"/>
      <c r="D24" s="28"/>
      <c r="E24" s="28"/>
      <c r="F24" s="28"/>
      <c r="G24" s="26"/>
      <c r="H24" s="29"/>
      <c r="I24" s="30"/>
      <c r="J24" s="46"/>
      <c r="K24" s="48"/>
      <c r="L24" s="44"/>
    </row>
    <row r="25" spans="1:13" x14ac:dyDescent="0.2">
      <c r="A25" s="24"/>
      <c r="B25" s="25"/>
      <c r="C25" s="25"/>
      <c r="D25" s="25"/>
      <c r="E25" s="25"/>
      <c r="F25" s="25"/>
      <c r="G25" s="25"/>
      <c r="H25" s="25"/>
      <c r="I25" s="27"/>
      <c r="J25" s="45"/>
      <c r="K25" s="47"/>
      <c r="L25" s="44"/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/>
      <c r="K26" s="47"/>
      <c r="L26" s="43"/>
    </row>
    <row r="27" spans="1:13" x14ac:dyDescent="0.2">
      <c r="A27" s="31"/>
      <c r="B27" s="32"/>
      <c r="C27" s="33"/>
      <c r="D27" s="32"/>
      <c r="E27" s="32"/>
      <c r="F27" s="32"/>
      <c r="G27" s="32"/>
      <c r="H27" s="32"/>
      <c r="I27" s="34"/>
      <c r="J27" s="46"/>
      <c r="K27" s="47"/>
      <c r="L27" s="44"/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B29" s="6"/>
      <c r="C29" s="1"/>
      <c r="D29" s="1"/>
      <c r="E29" s="1"/>
      <c r="F29" s="1"/>
      <c r="G29" s="7"/>
      <c r="H29" s="8"/>
      <c r="I29" s="9"/>
      <c r="K29" s="43"/>
      <c r="L29" s="44"/>
      <c r="M29" s="43" t="s">
        <v>47</v>
      </c>
    </row>
    <row r="30" spans="1:13" x14ac:dyDescent="0.2">
      <c r="A30" t="str">
        <f>Sheet1!A30</f>
        <v>Heat of combustion=</v>
      </c>
      <c r="C30">
        <f>Sheet1!C30</f>
        <v>13280</v>
      </c>
      <c r="D30" t="str">
        <f>Sheet1!D30</f>
        <v>Btu/lb as rec'd</v>
      </c>
      <c r="E30" s="1"/>
    </row>
    <row r="31" spans="1:13" x14ac:dyDescent="0.2">
      <c r="A31" s="42" t="s">
        <v>52</v>
      </c>
      <c r="B31" s="1"/>
      <c r="C31" s="1"/>
      <c r="D31" s="1"/>
      <c r="E31" s="1"/>
      <c r="F31" s="1"/>
      <c r="G31" s="7"/>
    </row>
    <row r="32" spans="1:13" x14ac:dyDescent="0.2">
      <c r="B32" s="1"/>
    </row>
    <row r="33" spans="1:7" x14ac:dyDescent="0.2">
      <c r="B33" s="37"/>
      <c r="C33" s="38"/>
      <c r="D33" s="38"/>
      <c r="E33" s="38"/>
      <c r="F33" s="38"/>
      <c r="G33" s="38"/>
    </row>
    <row r="34" spans="1:7" x14ac:dyDescent="0.2">
      <c r="B34" s="1"/>
    </row>
    <row r="35" spans="1:7" x14ac:dyDescent="0.2">
      <c r="A35" s="39"/>
      <c r="B35" s="39"/>
      <c r="C35" s="39"/>
      <c r="D35" s="40"/>
      <c r="E35" s="39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30" sqref="A30:D30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F4">
        <v>1</v>
      </c>
      <c r="G4" s="4">
        <f>F4*E4</f>
        <v>61131.946666666663</v>
      </c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F5">
        <f>1/4</f>
        <v>0.25</v>
      </c>
      <c r="G5" s="4">
        <f>F5*E5</f>
        <v>6543.36</v>
      </c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F6">
        <v>-0.5</v>
      </c>
      <c r="G6" s="4">
        <f>F6*E6</f>
        <v>-3288.7200000000003</v>
      </c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F7">
        <v>0</v>
      </c>
      <c r="G7" s="4">
        <f>F7*E7</f>
        <v>0</v>
      </c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F8">
        <v>1</v>
      </c>
      <c r="G8" s="4">
        <f>F8*E8</f>
        <v>105.08000000000001</v>
      </c>
    </row>
    <row r="9" spans="1:11" x14ac:dyDescent="0.2">
      <c r="B9" s="2">
        <f>SUM(B4:B8)</f>
        <v>1</v>
      </c>
      <c r="D9" s="4"/>
      <c r="F9" s="10" t="s">
        <v>13</v>
      </c>
      <c r="G9" s="11"/>
      <c r="H9" s="12" t="s">
        <v>39</v>
      </c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/>
      <c r="H10" s="16" t="s">
        <v>15</v>
      </c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 t="s">
        <v>32</v>
      </c>
      <c r="G11" s="15"/>
      <c r="H11" s="16" t="s">
        <v>39</v>
      </c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/>
      <c r="H12" s="16" t="s">
        <v>15</v>
      </c>
      <c r="I12" s="17"/>
    </row>
    <row r="13" spans="1:11" x14ac:dyDescent="0.2">
      <c r="F13" s="14" t="s">
        <v>14</v>
      </c>
      <c r="G13" s="15"/>
      <c r="H13" s="16" t="s">
        <v>40</v>
      </c>
      <c r="I13" s="17"/>
    </row>
    <row r="14" spans="1:11" x14ac:dyDescent="0.2">
      <c r="F14" s="14"/>
      <c r="G14" s="15"/>
      <c r="H14" s="16" t="s">
        <v>16</v>
      </c>
      <c r="I14" s="17"/>
    </row>
    <row r="15" spans="1:11" x14ac:dyDescent="0.2">
      <c r="F15" s="14"/>
      <c r="G15" s="15"/>
      <c r="H15" s="16"/>
      <c r="I15" s="17"/>
    </row>
    <row r="16" spans="1:11" x14ac:dyDescent="0.2">
      <c r="F16" s="14"/>
      <c r="G16" s="15"/>
      <c r="H16" s="16"/>
      <c r="I16" s="17"/>
    </row>
    <row r="17" spans="1:13" x14ac:dyDescent="0.2">
      <c r="F17" s="18"/>
      <c r="G17" s="19"/>
      <c r="H17" s="20"/>
      <c r="I17" s="21"/>
    </row>
    <row r="19" spans="1:13" x14ac:dyDescent="0.2">
      <c r="A19" s="41"/>
      <c r="B19" s="22"/>
      <c r="C19" s="22"/>
      <c r="D19" s="22"/>
      <c r="E19" s="22"/>
      <c r="F19" s="22"/>
      <c r="G19" s="22"/>
      <c r="H19" s="22"/>
      <c r="I19" s="23"/>
      <c r="K19" s="47"/>
    </row>
    <row r="20" spans="1:13" x14ac:dyDescent="0.2">
      <c r="A20" s="24"/>
      <c r="B20" s="25"/>
      <c r="C20" s="25"/>
      <c r="D20" s="25"/>
      <c r="E20" s="25"/>
      <c r="F20" s="25"/>
      <c r="G20" s="26"/>
      <c r="H20" s="25"/>
      <c r="I20" s="27"/>
      <c r="J20" s="45"/>
      <c r="K20" s="47"/>
      <c r="L20" s="43"/>
    </row>
    <row r="21" spans="1:13" x14ac:dyDescent="0.2">
      <c r="A21" s="24"/>
      <c r="B21" s="25"/>
      <c r="C21" s="28"/>
      <c r="D21" s="28"/>
      <c r="E21" s="28"/>
      <c r="F21" s="28"/>
      <c r="G21" s="26"/>
      <c r="H21" s="29"/>
      <c r="I21" s="27"/>
      <c r="J21" s="46"/>
      <c r="K21" s="48"/>
      <c r="L21" s="44"/>
    </row>
    <row r="22" spans="1:13" x14ac:dyDescent="0.2">
      <c r="A22" s="24"/>
      <c r="B22" s="25"/>
      <c r="C22" s="28"/>
      <c r="D22" s="28"/>
      <c r="E22" s="28"/>
      <c r="F22" s="28"/>
      <c r="G22" s="26"/>
      <c r="H22" s="29"/>
      <c r="I22" s="30"/>
      <c r="J22" s="46"/>
      <c r="K22" s="48"/>
      <c r="L22" s="44"/>
    </row>
    <row r="23" spans="1:13" x14ac:dyDescent="0.2">
      <c r="A23" s="24"/>
      <c r="B23" s="25"/>
      <c r="C23" s="28"/>
      <c r="D23" s="28"/>
      <c r="E23" s="28"/>
      <c r="F23" s="28"/>
      <c r="G23" s="26"/>
      <c r="H23" s="29"/>
      <c r="I23" s="27"/>
      <c r="J23" s="46"/>
      <c r="K23" s="48"/>
      <c r="L23" s="44"/>
    </row>
    <row r="24" spans="1:13" x14ac:dyDescent="0.2">
      <c r="A24" s="24"/>
      <c r="B24" s="25"/>
      <c r="C24" s="28"/>
      <c r="D24" s="28"/>
      <c r="E24" s="28"/>
      <c r="F24" s="28"/>
      <c r="G24" s="26"/>
      <c r="H24" s="29"/>
      <c r="I24" s="30"/>
      <c r="J24" s="46"/>
      <c r="K24" s="48"/>
      <c r="L24" s="44"/>
    </row>
    <row r="25" spans="1:13" x14ac:dyDescent="0.2">
      <c r="A25" s="24"/>
      <c r="B25" s="25"/>
      <c r="C25" s="25"/>
      <c r="D25" s="25"/>
      <c r="E25" s="25"/>
      <c r="F25" s="25"/>
      <c r="G25" s="25"/>
      <c r="H25" s="25"/>
      <c r="I25" s="27"/>
      <c r="J25" s="45"/>
      <c r="K25" s="47"/>
      <c r="L25" s="44"/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/>
      <c r="K26" s="47"/>
      <c r="L26" s="43"/>
    </row>
    <row r="27" spans="1:13" x14ac:dyDescent="0.2">
      <c r="A27" s="31"/>
      <c r="B27" s="32"/>
      <c r="C27" s="33"/>
      <c r="D27" s="32"/>
      <c r="E27" s="32"/>
      <c r="F27" s="32"/>
      <c r="G27" s="32"/>
      <c r="H27" s="32"/>
      <c r="I27" s="34"/>
      <c r="J27" s="46"/>
      <c r="K27" s="47"/>
      <c r="L27" s="44"/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B29" s="6"/>
      <c r="C29" s="1"/>
      <c r="D29" s="1"/>
      <c r="E29" s="1"/>
      <c r="F29" s="1"/>
      <c r="G29" s="7"/>
      <c r="H29" s="8"/>
      <c r="I29" s="9"/>
      <c r="K29" s="43"/>
      <c r="L29" s="44"/>
      <c r="M29" s="43" t="s">
        <v>47</v>
      </c>
    </row>
    <row r="30" spans="1:13" x14ac:dyDescent="0.2">
      <c r="A30" t="str">
        <f>Sheet1!A30</f>
        <v>Heat of combustion=</v>
      </c>
      <c r="C30">
        <f>Sheet1!C30</f>
        <v>13280</v>
      </c>
      <c r="D30" t="str">
        <f>Sheet1!D30</f>
        <v>Btu/lb as rec'd</v>
      </c>
      <c r="E30" s="1"/>
    </row>
    <row r="31" spans="1:13" x14ac:dyDescent="0.2">
      <c r="A31" s="42" t="s">
        <v>52</v>
      </c>
      <c r="B31" s="1"/>
      <c r="C31" s="1"/>
      <c r="D31" s="1"/>
      <c r="E31" s="1"/>
      <c r="F31" s="1"/>
      <c r="G31" s="7"/>
    </row>
    <row r="32" spans="1:13" x14ac:dyDescent="0.2">
      <c r="B32" s="1"/>
    </row>
    <row r="33" spans="1:7" x14ac:dyDescent="0.2">
      <c r="B33" s="37"/>
      <c r="C33" s="38"/>
      <c r="D33" s="38"/>
      <c r="E33" s="38"/>
      <c r="F33" s="38"/>
      <c r="G33" s="38"/>
    </row>
    <row r="34" spans="1:7" x14ac:dyDescent="0.2">
      <c r="B34" s="1"/>
    </row>
    <row r="35" spans="1:7" x14ac:dyDescent="0.2">
      <c r="A35" s="39"/>
      <c r="B35" s="39"/>
      <c r="C35" s="39"/>
      <c r="D35" s="40"/>
      <c r="E35" s="39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G11" sqref="G11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F4">
        <v>1</v>
      </c>
      <c r="G4" s="4">
        <f>F4*E4</f>
        <v>61131.946666666663</v>
      </c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F5">
        <f>1/4</f>
        <v>0.25</v>
      </c>
      <c r="G5" s="4">
        <f>F5*E5</f>
        <v>6543.36</v>
      </c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F6">
        <v>-0.5</v>
      </c>
      <c r="G6" s="4">
        <f>F6*E6</f>
        <v>-3288.7200000000003</v>
      </c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F7">
        <v>0</v>
      </c>
      <c r="G7" s="4">
        <f>F7*E7</f>
        <v>0</v>
      </c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F8">
        <v>1</v>
      </c>
      <c r="G8" s="4">
        <f>F8*E8</f>
        <v>105.08000000000001</v>
      </c>
    </row>
    <row r="9" spans="1:11" x14ac:dyDescent="0.2">
      <c r="B9" s="2">
        <f>SUM(B4:B8)</f>
        <v>1</v>
      </c>
      <c r="D9" s="4"/>
      <c r="F9" s="10" t="s">
        <v>13</v>
      </c>
      <c r="G9" s="11">
        <f>SUM(G4:G8)</f>
        <v>64491.666666666657</v>
      </c>
      <c r="H9" s="12" t="s">
        <v>39</v>
      </c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>
        <f>G9*32</f>
        <v>2063733.333333333</v>
      </c>
      <c r="H10" s="16" t="s">
        <v>15</v>
      </c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 t="s">
        <v>32</v>
      </c>
      <c r="G11" s="15">
        <f>1.06*G9</f>
        <v>68361.166666666657</v>
      </c>
      <c r="H11" s="16" t="s">
        <v>39</v>
      </c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>
        <f>G11*32</f>
        <v>2187557.333333333</v>
      </c>
      <c r="H12" s="16" t="s">
        <v>15</v>
      </c>
      <c r="I12" s="17"/>
    </row>
    <row r="13" spans="1:11" x14ac:dyDescent="0.2">
      <c r="F13" s="14" t="s">
        <v>14</v>
      </c>
      <c r="G13" s="15">
        <f>G11/0.21*0.79+E7/2</f>
        <v>257677.7755555555</v>
      </c>
      <c r="H13" s="16" t="s">
        <v>40</v>
      </c>
      <c r="I13" s="17"/>
    </row>
    <row r="14" spans="1:11" x14ac:dyDescent="0.2">
      <c r="F14" s="14"/>
      <c r="G14" s="15">
        <f>G13*28</f>
        <v>7214977.7155555543</v>
      </c>
      <c r="H14" s="16" t="s">
        <v>16</v>
      </c>
      <c r="I14" s="17"/>
    </row>
    <row r="15" spans="1:11" x14ac:dyDescent="0.2">
      <c r="F15" s="14" t="s">
        <v>17</v>
      </c>
      <c r="G15" s="15"/>
      <c r="H15" s="16" t="s">
        <v>41</v>
      </c>
      <c r="I15" s="17"/>
    </row>
    <row r="16" spans="1:11" x14ac:dyDescent="0.2">
      <c r="F16" s="14" t="s">
        <v>18</v>
      </c>
      <c r="G16" s="15"/>
      <c r="H16" s="16" t="s">
        <v>42</v>
      </c>
      <c r="I16" s="17"/>
    </row>
    <row r="17" spans="1:13" x14ac:dyDescent="0.2">
      <c r="F17" s="18" t="s">
        <v>19</v>
      </c>
      <c r="G17" s="19"/>
      <c r="H17" s="20" t="s">
        <v>43</v>
      </c>
      <c r="I17" s="21"/>
    </row>
    <row r="19" spans="1:13" x14ac:dyDescent="0.2">
      <c r="A19" s="41"/>
      <c r="B19" s="22"/>
      <c r="C19" s="22"/>
      <c r="D19" s="22"/>
      <c r="E19" s="22"/>
      <c r="F19" s="22"/>
      <c r="G19" s="22"/>
      <c r="H19" s="22"/>
      <c r="I19" s="23"/>
      <c r="K19" s="47"/>
    </row>
    <row r="20" spans="1:13" x14ac:dyDescent="0.2">
      <c r="A20" s="24"/>
      <c r="B20" s="25"/>
      <c r="C20" s="25"/>
      <c r="D20" s="25"/>
      <c r="E20" s="25"/>
      <c r="F20" s="25"/>
      <c r="G20" s="26"/>
      <c r="H20" s="25"/>
      <c r="I20" s="27"/>
      <c r="J20" s="45"/>
      <c r="K20" s="47"/>
      <c r="L20" s="43"/>
    </row>
    <row r="21" spans="1:13" x14ac:dyDescent="0.2">
      <c r="A21" s="24"/>
      <c r="B21" s="25"/>
      <c r="C21" s="28"/>
      <c r="D21" s="28"/>
      <c r="E21" s="28"/>
      <c r="F21" s="28"/>
      <c r="G21" s="26"/>
      <c r="H21" s="29"/>
      <c r="I21" s="27"/>
      <c r="J21" s="46"/>
      <c r="K21" s="48"/>
      <c r="L21" s="44"/>
    </row>
    <row r="22" spans="1:13" x14ac:dyDescent="0.2">
      <c r="A22" s="24"/>
      <c r="B22" s="25"/>
      <c r="C22" s="28"/>
      <c r="D22" s="28"/>
      <c r="E22" s="28"/>
      <c r="F22" s="28"/>
      <c r="G22" s="26"/>
      <c r="H22" s="29"/>
      <c r="I22" s="30"/>
      <c r="J22" s="46"/>
      <c r="K22" s="48"/>
      <c r="L22" s="44"/>
    </row>
    <row r="23" spans="1:13" x14ac:dyDescent="0.2">
      <c r="A23" s="24"/>
      <c r="B23" s="25"/>
      <c r="C23" s="28"/>
      <c r="D23" s="28"/>
      <c r="E23" s="28"/>
      <c r="F23" s="28"/>
      <c r="G23" s="26"/>
      <c r="H23" s="29"/>
      <c r="I23" s="27"/>
      <c r="J23" s="46"/>
      <c r="K23" s="48"/>
      <c r="L23" s="44"/>
    </row>
    <row r="24" spans="1:13" x14ac:dyDescent="0.2">
      <c r="A24" s="24"/>
      <c r="B24" s="25"/>
      <c r="C24" s="28"/>
      <c r="D24" s="28"/>
      <c r="E24" s="28"/>
      <c r="F24" s="28"/>
      <c r="G24" s="26"/>
      <c r="H24" s="29"/>
      <c r="I24" s="30"/>
      <c r="J24" s="46"/>
      <c r="K24" s="48"/>
      <c r="L24" s="44"/>
    </row>
    <row r="25" spans="1:13" x14ac:dyDescent="0.2">
      <c r="A25" s="24"/>
      <c r="B25" s="25"/>
      <c r="C25" s="25"/>
      <c r="D25" s="25"/>
      <c r="E25" s="25"/>
      <c r="F25" s="25"/>
      <c r="G25" s="25"/>
      <c r="H25" s="25"/>
      <c r="I25" s="27"/>
      <c r="J25" s="45"/>
      <c r="K25" s="47"/>
      <c r="L25" s="44"/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/>
      <c r="K26" s="47"/>
      <c r="L26" s="43"/>
    </row>
    <row r="27" spans="1:13" x14ac:dyDescent="0.2">
      <c r="A27" s="31"/>
      <c r="B27" s="32"/>
      <c r="C27" s="33"/>
      <c r="D27" s="32"/>
      <c r="E27" s="32"/>
      <c r="F27" s="32"/>
      <c r="G27" s="32"/>
      <c r="H27" s="32"/>
      <c r="I27" s="34"/>
      <c r="J27" s="46"/>
      <c r="K27" s="47"/>
      <c r="L27" s="44"/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B29" s="6"/>
      <c r="C29" s="1"/>
      <c r="D29" s="1"/>
      <c r="E29" s="1"/>
      <c r="F29" s="1"/>
      <c r="G29" s="7"/>
      <c r="H29" s="8"/>
      <c r="I29" s="9"/>
      <c r="K29" s="43"/>
      <c r="L29" s="44"/>
      <c r="M29" s="43" t="s">
        <v>47</v>
      </c>
    </row>
    <row r="30" spans="1:13" x14ac:dyDescent="0.2">
      <c r="A30" t="str">
        <f>Sheet1!A30</f>
        <v>Heat of combustion=</v>
      </c>
      <c r="C30">
        <f>Sheet1!C30</f>
        <v>13280</v>
      </c>
      <c r="D30" t="str">
        <f>Sheet1!D30</f>
        <v>Btu/lb as rec'd</v>
      </c>
      <c r="E30" s="1"/>
    </row>
    <row r="31" spans="1:13" x14ac:dyDescent="0.2">
      <c r="A31" s="42" t="s">
        <v>52</v>
      </c>
      <c r="B31" s="1"/>
      <c r="C31" s="1"/>
      <c r="D31" s="1"/>
      <c r="E31" s="1"/>
      <c r="F31" s="1"/>
      <c r="G31" s="7"/>
    </row>
    <row r="32" spans="1:13" x14ac:dyDescent="0.2">
      <c r="B32" s="1"/>
    </row>
    <row r="33" spans="1:7" x14ac:dyDescent="0.2">
      <c r="B33" s="37"/>
      <c r="C33" s="38"/>
      <c r="D33" s="38"/>
      <c r="E33" s="38"/>
      <c r="F33" s="38"/>
      <c r="G33" s="38"/>
    </row>
    <row r="34" spans="1:7" x14ac:dyDescent="0.2">
      <c r="B34" s="1"/>
    </row>
    <row r="35" spans="1:7" x14ac:dyDescent="0.2">
      <c r="A35" s="39"/>
      <c r="B35" s="39"/>
      <c r="C35" s="39"/>
      <c r="D35" s="40"/>
      <c r="E35" s="39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H39" sqref="H39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F4">
        <v>1</v>
      </c>
      <c r="G4" s="4">
        <f>F4*E4</f>
        <v>61131.946666666663</v>
      </c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F5">
        <f>1/4</f>
        <v>0.25</v>
      </c>
      <c r="G5" s="4">
        <f>F5*E5</f>
        <v>6543.36</v>
      </c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F6">
        <v>-0.5</v>
      </c>
      <c r="G6" s="4">
        <f>F6*E6</f>
        <v>-3288.7200000000003</v>
      </c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F7">
        <v>0</v>
      </c>
      <c r="G7" s="4">
        <f>F7*E7</f>
        <v>0</v>
      </c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F8">
        <v>1</v>
      </c>
      <c r="G8" s="4">
        <f>F8*E8</f>
        <v>105.08000000000001</v>
      </c>
    </row>
    <row r="9" spans="1:11" x14ac:dyDescent="0.2">
      <c r="B9" s="2">
        <f>SUM(B4:B8)</f>
        <v>1</v>
      </c>
      <c r="D9" s="4"/>
      <c r="F9" s="10" t="s">
        <v>13</v>
      </c>
      <c r="G9" s="11">
        <f>SUM(G4:G8)</f>
        <v>64491.666666666657</v>
      </c>
      <c r="H9" s="12" t="s">
        <v>39</v>
      </c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>
        <f>G9*32</f>
        <v>2063733.333333333</v>
      </c>
      <c r="H10" s="16" t="s">
        <v>15</v>
      </c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 t="s">
        <v>32</v>
      </c>
      <c r="G11" s="15">
        <f>1.06*G9</f>
        <v>68361.166666666657</v>
      </c>
      <c r="H11" s="16" t="s">
        <v>39</v>
      </c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>
        <f>G11*32</f>
        <v>2187557.333333333</v>
      </c>
      <c r="H12" s="16" t="s">
        <v>15</v>
      </c>
      <c r="I12" s="17"/>
    </row>
    <row r="13" spans="1:11" x14ac:dyDescent="0.2">
      <c r="F13" s="14" t="s">
        <v>14</v>
      </c>
      <c r="G13" s="15">
        <f>G11/0.21*0.79+E7/2</f>
        <v>257677.7755555555</v>
      </c>
      <c r="H13" s="16" t="s">
        <v>40</v>
      </c>
      <c r="I13" s="17"/>
    </row>
    <row r="14" spans="1:11" x14ac:dyDescent="0.2">
      <c r="F14" s="14"/>
      <c r="G14" s="15">
        <f>G13*28</f>
        <v>7214977.7155555543</v>
      </c>
      <c r="H14" s="16" t="s">
        <v>16</v>
      </c>
      <c r="I14" s="17"/>
    </row>
    <row r="15" spans="1:11" x14ac:dyDescent="0.2">
      <c r="F15" s="14" t="s">
        <v>17</v>
      </c>
      <c r="G15" s="15">
        <f>E4</f>
        <v>61131.946666666663</v>
      </c>
      <c r="H15" s="16" t="s">
        <v>41</v>
      </c>
      <c r="I15" s="17"/>
    </row>
    <row r="16" spans="1:11" x14ac:dyDescent="0.2">
      <c r="F16" s="14" t="s">
        <v>18</v>
      </c>
      <c r="G16" s="15">
        <f>E5/2+E11</f>
        <v>15658.942222222222</v>
      </c>
      <c r="H16" s="16" t="s">
        <v>42</v>
      </c>
      <c r="I16" s="17"/>
    </row>
    <row r="17" spans="1:13" x14ac:dyDescent="0.2">
      <c r="F17" s="18" t="s">
        <v>19</v>
      </c>
      <c r="G17" s="19">
        <f>E8</f>
        <v>105.08000000000001</v>
      </c>
      <c r="H17" s="20" t="s">
        <v>43</v>
      </c>
      <c r="I17" s="21"/>
    </row>
    <row r="19" spans="1:13" x14ac:dyDescent="0.2">
      <c r="A19" s="41" t="s">
        <v>20</v>
      </c>
      <c r="B19" s="22"/>
      <c r="C19" s="22"/>
      <c r="D19" s="22"/>
      <c r="E19" s="22"/>
      <c r="F19" s="22"/>
      <c r="G19" s="22"/>
      <c r="H19" s="22"/>
      <c r="I19" s="23"/>
      <c r="K19" s="47" t="s">
        <v>56</v>
      </c>
    </row>
    <row r="20" spans="1:13" x14ac:dyDescent="0.2">
      <c r="A20" s="24"/>
      <c r="B20" s="25"/>
      <c r="C20" s="25" t="s">
        <v>24</v>
      </c>
      <c r="D20" s="25" t="s">
        <v>25</v>
      </c>
      <c r="E20" s="25" t="s">
        <v>26</v>
      </c>
      <c r="F20" s="25" t="s">
        <v>27</v>
      </c>
      <c r="G20" s="26" t="s">
        <v>28</v>
      </c>
      <c r="H20" s="25" t="s">
        <v>29</v>
      </c>
      <c r="I20" s="27" t="s">
        <v>30</v>
      </c>
      <c r="J20" s="45" t="s">
        <v>44</v>
      </c>
      <c r="K20" s="47" t="s">
        <v>33</v>
      </c>
      <c r="L20" s="43" t="s">
        <v>38</v>
      </c>
    </row>
    <row r="21" spans="1:13" x14ac:dyDescent="0.2">
      <c r="A21" s="24"/>
      <c r="B21" s="25" t="s">
        <v>31</v>
      </c>
      <c r="C21" s="28">
        <v>3.6110000000000003E-2</v>
      </c>
      <c r="D21" s="28">
        <v>4.2330000000000003E-5</v>
      </c>
      <c r="E21" s="28">
        <v>-2.887E-8</v>
      </c>
      <c r="F21" s="28">
        <v>7.4639999999999997E-12</v>
      </c>
      <c r="G21" s="26" t="s">
        <v>2</v>
      </c>
      <c r="H21" s="29">
        <v>1</v>
      </c>
      <c r="I21" s="27">
        <v>-393.5</v>
      </c>
      <c r="J21" s="46"/>
      <c r="K21" s="48"/>
      <c r="L21" s="44"/>
    </row>
    <row r="22" spans="1:13" x14ac:dyDescent="0.2">
      <c r="A22" s="24"/>
      <c r="B22" s="25" t="s">
        <v>21</v>
      </c>
      <c r="C22" s="28">
        <v>3.3459999999999997E-2</v>
      </c>
      <c r="D22" s="28">
        <v>6.8800000000000002E-6</v>
      </c>
      <c r="E22" s="28">
        <v>7.6039999999999998E-9</v>
      </c>
      <c r="F22" s="28">
        <v>-3.5930000000000001E-12</v>
      </c>
      <c r="G22" s="26" t="s">
        <v>2</v>
      </c>
      <c r="H22" s="29">
        <v>1</v>
      </c>
      <c r="I22" s="30">
        <v>-241.83</v>
      </c>
      <c r="J22" s="46"/>
      <c r="K22" s="48"/>
      <c r="L22" s="44"/>
    </row>
    <row r="23" spans="1:13" x14ac:dyDescent="0.2">
      <c r="A23" s="24"/>
      <c r="B23" s="25" t="s">
        <v>23</v>
      </c>
      <c r="C23" s="28">
        <v>2.9100000000000001E-2</v>
      </c>
      <c r="D23" s="28">
        <v>1.1579999999999999E-5</v>
      </c>
      <c r="E23" s="28">
        <v>-6.0760000000000001E-9</v>
      </c>
      <c r="F23" s="28">
        <v>1.311E-12</v>
      </c>
      <c r="G23" s="26" t="s">
        <v>2</v>
      </c>
      <c r="H23" s="29">
        <v>1</v>
      </c>
      <c r="I23" s="27">
        <v>0</v>
      </c>
      <c r="J23" s="46"/>
      <c r="K23" s="48"/>
      <c r="L23" s="44"/>
    </row>
    <row r="24" spans="1:13" x14ac:dyDescent="0.2">
      <c r="A24" s="24"/>
      <c r="B24" s="25" t="s">
        <v>22</v>
      </c>
      <c r="C24" s="28">
        <v>2.9000000000000001E-2</v>
      </c>
      <c r="D24" s="28">
        <v>2.199E-6</v>
      </c>
      <c r="E24" s="28">
        <v>5.7230000000000002E-9</v>
      </c>
      <c r="F24" s="28">
        <v>-2.8710000000000002E-12</v>
      </c>
      <c r="G24" s="26" t="s">
        <v>2</v>
      </c>
      <c r="H24" s="29">
        <v>1</v>
      </c>
      <c r="I24" s="30">
        <v>0</v>
      </c>
      <c r="J24" s="46"/>
      <c r="K24" s="48"/>
      <c r="L24" s="44"/>
    </row>
    <row r="25" spans="1:13" x14ac:dyDescent="0.2">
      <c r="A25" s="24"/>
      <c r="B25" s="49" t="s">
        <v>62</v>
      </c>
      <c r="C25" s="50">
        <v>3.891E-2</v>
      </c>
      <c r="D25" s="50">
        <v>3.9004000000000001E-5</v>
      </c>
      <c r="E25" s="50">
        <v>-3.1039999999999999E-8</v>
      </c>
      <c r="F25" s="50">
        <v>8.6059999999999995E-12</v>
      </c>
      <c r="G25" s="51" t="s">
        <v>2</v>
      </c>
      <c r="H25" s="52">
        <v>1</v>
      </c>
      <c r="I25" s="53">
        <v>-296.60000000000002</v>
      </c>
      <c r="J25" s="45"/>
      <c r="K25" s="47"/>
      <c r="L25" s="44"/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 t="s">
        <v>46</v>
      </c>
      <c r="K26" s="47" t="s">
        <v>57</v>
      </c>
      <c r="L26" s="43"/>
    </row>
    <row r="27" spans="1:13" x14ac:dyDescent="0.2">
      <c r="A27" s="31"/>
      <c r="B27" s="32" t="s">
        <v>7</v>
      </c>
      <c r="C27" s="33">
        <v>0.8</v>
      </c>
      <c r="D27" s="32" t="s">
        <v>45</v>
      </c>
      <c r="E27" s="32"/>
      <c r="F27" s="32"/>
      <c r="G27" s="32"/>
      <c r="H27" s="32"/>
      <c r="I27" s="34"/>
      <c r="J27" s="46"/>
      <c r="K27" s="47"/>
      <c r="L27" s="44"/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B29" s="6"/>
      <c r="C29" s="1"/>
      <c r="D29" s="1"/>
      <c r="E29" s="1"/>
      <c r="F29" s="1"/>
      <c r="G29" s="7"/>
      <c r="H29" s="8"/>
      <c r="I29" s="9"/>
      <c r="K29" s="43" t="s">
        <v>36</v>
      </c>
      <c r="L29" s="44"/>
      <c r="M29" s="43" t="s">
        <v>47</v>
      </c>
    </row>
    <row r="30" spans="1:13" x14ac:dyDescent="0.2">
      <c r="A30" t="str">
        <f>Sheet1!A30</f>
        <v>Heat of combustion=</v>
      </c>
      <c r="C30">
        <f>Sheet1!C30</f>
        <v>13280</v>
      </c>
      <c r="D30" t="str">
        <f>Sheet1!D30</f>
        <v>Btu/lb as rec'd</v>
      </c>
      <c r="E30" s="1"/>
    </row>
    <row r="31" spans="1:13" x14ac:dyDescent="0.2">
      <c r="A31" s="42" t="s">
        <v>52</v>
      </c>
      <c r="B31" s="1"/>
      <c r="C31" s="1"/>
      <c r="D31" s="1"/>
      <c r="E31" s="1"/>
      <c r="F31" s="1"/>
      <c r="G31" s="7"/>
    </row>
    <row r="32" spans="1:13" x14ac:dyDescent="0.2">
      <c r="B32" s="1"/>
    </row>
    <row r="33" spans="1:7" x14ac:dyDescent="0.2">
      <c r="B33" s="37"/>
      <c r="C33" s="38"/>
      <c r="D33" s="38"/>
      <c r="E33" s="38"/>
      <c r="F33" s="38"/>
      <c r="G33" s="38"/>
    </row>
    <row r="34" spans="1:7" x14ac:dyDescent="0.2">
      <c r="B34" s="1"/>
    </row>
    <row r="35" spans="1:7" x14ac:dyDescent="0.2">
      <c r="A35" s="39"/>
      <c r="B35" s="39"/>
      <c r="C35" s="39"/>
      <c r="D35" s="40"/>
      <c r="E35" s="39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J36" sqref="J36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F4">
        <v>1</v>
      </c>
      <c r="G4" s="4">
        <f>F4*E4</f>
        <v>61131.946666666663</v>
      </c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F5">
        <f>1/4</f>
        <v>0.25</v>
      </c>
      <c r="G5" s="4">
        <f>F5*E5</f>
        <v>6543.36</v>
      </c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F6">
        <v>-0.5</v>
      </c>
      <c r="G6" s="4">
        <f>F6*E6</f>
        <v>-3288.7200000000003</v>
      </c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F7">
        <v>0</v>
      </c>
      <c r="G7" s="4">
        <f>F7*E7</f>
        <v>0</v>
      </c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F8">
        <v>1</v>
      </c>
      <c r="G8" s="4">
        <f>F8*E8</f>
        <v>105.08000000000001</v>
      </c>
    </row>
    <row r="9" spans="1:11" x14ac:dyDescent="0.2">
      <c r="B9" s="2">
        <f>SUM(B4:B8)</f>
        <v>1</v>
      </c>
      <c r="D9" s="4"/>
      <c r="F9" s="10" t="s">
        <v>13</v>
      </c>
      <c r="G9" s="11">
        <f>SUM(G4:G8)</f>
        <v>64491.666666666657</v>
      </c>
      <c r="H9" s="12" t="s">
        <v>39</v>
      </c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>
        <f>G9*32</f>
        <v>2063733.333333333</v>
      </c>
      <c r="H10" s="16" t="s">
        <v>15</v>
      </c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 t="s">
        <v>32</v>
      </c>
      <c r="G11" s="15">
        <f>1.06*G9</f>
        <v>68361.166666666657</v>
      </c>
      <c r="H11" s="16" t="s">
        <v>39</v>
      </c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>
        <f>G11*32</f>
        <v>2187557.333333333</v>
      </c>
      <c r="H12" s="16" t="s">
        <v>15</v>
      </c>
      <c r="I12" s="17"/>
    </row>
    <row r="13" spans="1:11" x14ac:dyDescent="0.2">
      <c r="F13" s="14" t="s">
        <v>14</v>
      </c>
      <c r="G13" s="15">
        <f>G11/0.21*0.79+E7/2</f>
        <v>257677.7755555555</v>
      </c>
      <c r="H13" s="16" t="s">
        <v>40</v>
      </c>
      <c r="I13" s="17"/>
    </row>
    <row r="14" spans="1:11" x14ac:dyDescent="0.2">
      <c r="F14" s="14"/>
      <c r="G14" s="15">
        <f>G13*28</f>
        <v>7214977.7155555543</v>
      </c>
      <c r="H14" s="16" t="s">
        <v>16</v>
      </c>
      <c r="I14" s="17"/>
    </row>
    <row r="15" spans="1:11" x14ac:dyDescent="0.2">
      <c r="F15" s="14" t="s">
        <v>17</v>
      </c>
      <c r="G15" s="15">
        <f>E4</f>
        <v>61131.946666666663</v>
      </c>
      <c r="H15" s="16" t="s">
        <v>41</v>
      </c>
      <c r="I15" s="17"/>
    </row>
    <row r="16" spans="1:11" x14ac:dyDescent="0.2">
      <c r="F16" s="14" t="s">
        <v>18</v>
      </c>
      <c r="G16" s="15">
        <f>E5/2+E11</f>
        <v>15658.942222222222</v>
      </c>
      <c r="H16" s="16" t="s">
        <v>42</v>
      </c>
      <c r="I16" s="17"/>
    </row>
    <row r="17" spans="1:13" x14ac:dyDescent="0.2">
      <c r="F17" s="18" t="s">
        <v>19</v>
      </c>
      <c r="G17" s="19">
        <f>E8</f>
        <v>105.08000000000001</v>
      </c>
      <c r="H17" s="20" t="s">
        <v>43</v>
      </c>
      <c r="I17" s="21"/>
    </row>
    <row r="19" spans="1:13" x14ac:dyDescent="0.2">
      <c r="A19" s="41" t="s">
        <v>20</v>
      </c>
      <c r="B19" s="22"/>
      <c r="C19" s="22"/>
      <c r="D19" s="22"/>
      <c r="E19" s="22"/>
      <c r="F19" s="22"/>
      <c r="G19" s="22"/>
      <c r="H19" s="22"/>
      <c r="I19" s="23"/>
      <c r="K19" s="47" t="s">
        <v>56</v>
      </c>
    </row>
    <row r="20" spans="1:13" x14ac:dyDescent="0.2">
      <c r="A20" s="24"/>
      <c r="B20" s="25"/>
      <c r="C20" s="25" t="s">
        <v>24</v>
      </c>
      <c r="D20" s="25" t="s">
        <v>25</v>
      </c>
      <c r="E20" s="25" t="s">
        <v>26</v>
      </c>
      <c r="F20" s="25" t="s">
        <v>27</v>
      </c>
      <c r="G20" s="26" t="s">
        <v>28</v>
      </c>
      <c r="H20" s="25" t="s">
        <v>29</v>
      </c>
      <c r="I20" s="27" t="s">
        <v>30</v>
      </c>
      <c r="J20" s="45" t="s">
        <v>44</v>
      </c>
      <c r="K20" s="47" t="s">
        <v>33</v>
      </c>
      <c r="L20" s="43" t="s">
        <v>63</v>
      </c>
    </row>
    <row r="21" spans="1:13" x14ac:dyDescent="0.2">
      <c r="A21" s="24"/>
      <c r="B21" s="25" t="s">
        <v>31</v>
      </c>
      <c r="C21" s="28">
        <v>3.6110000000000003E-2</v>
      </c>
      <c r="D21" s="28">
        <v>4.2330000000000003E-5</v>
      </c>
      <c r="E21" s="28">
        <v>-2.887E-8</v>
      </c>
      <c r="F21" s="28">
        <v>7.4639999999999997E-12</v>
      </c>
      <c r="G21" s="26" t="s">
        <v>2</v>
      </c>
      <c r="H21" s="29">
        <v>1</v>
      </c>
      <c r="I21" s="27">
        <v>-393.5</v>
      </c>
      <c r="J21" s="46">
        <f>G15*454</f>
        <v>27753903.786666665</v>
      </c>
      <c r="K21" s="48">
        <f>C21*($J$3-$J$2)+D21/2*($J$3^2-$J$2^2)+E21/3*($J$3^3-$J$2^3)+F21/4*($J$3^4-$J$2^4)</f>
        <v>48.601838177343751</v>
      </c>
      <c r="L21" s="44">
        <f>J21*K21</f>
        <v>1348890740.6291413</v>
      </c>
    </row>
    <row r="22" spans="1:13" x14ac:dyDescent="0.2">
      <c r="A22" s="24"/>
      <c r="B22" s="25" t="s">
        <v>21</v>
      </c>
      <c r="C22" s="28">
        <v>3.3459999999999997E-2</v>
      </c>
      <c r="D22" s="28">
        <v>6.8800000000000002E-6</v>
      </c>
      <c r="E22" s="28">
        <v>7.6039999999999998E-9</v>
      </c>
      <c r="F22" s="28">
        <v>-3.5930000000000001E-12</v>
      </c>
      <c r="G22" s="26" t="s">
        <v>2</v>
      </c>
      <c r="H22" s="29">
        <v>1</v>
      </c>
      <c r="I22" s="30">
        <v>-241.83</v>
      </c>
      <c r="J22" s="46">
        <f>G16*454</f>
        <v>7109159.7688888889</v>
      </c>
      <c r="K22" s="48">
        <f>C22*($J$3-$J$2)+D22/2*($J$3^2-$J$2^2)+E22/3*($J$3^3-$J$2^3)+F22/4*($J$3^4-$J$2^4)</f>
        <v>37.697727413378907</v>
      </c>
      <c r="L22" s="44">
        <f>J22*K22</f>
        <v>267999167.10573313</v>
      </c>
    </row>
    <row r="23" spans="1:13" x14ac:dyDescent="0.2">
      <c r="A23" s="24"/>
      <c r="B23" s="25" t="s">
        <v>23</v>
      </c>
      <c r="C23" s="28">
        <v>2.9100000000000001E-2</v>
      </c>
      <c r="D23" s="28">
        <v>1.1579999999999999E-5</v>
      </c>
      <c r="E23" s="28">
        <v>-6.0760000000000001E-9</v>
      </c>
      <c r="F23" s="28">
        <v>1.311E-12</v>
      </c>
      <c r="G23" s="26" t="s">
        <v>2</v>
      </c>
      <c r="H23" s="29">
        <v>1</v>
      </c>
      <c r="I23" s="27">
        <v>0</v>
      </c>
      <c r="J23" s="46">
        <f>(G11-G9)*454</f>
        <v>1756753</v>
      </c>
      <c r="K23" s="48">
        <f>C23*($J$3-$J$2)+D23/2*($J$3^2-$J$2^2)+E23/3*($J$3^3-$J$2^3)+F23/4*($J$3^4-$J$2^4)</f>
        <v>32.46132943447266</v>
      </c>
      <c r="L23" s="44">
        <f>J23*K23</f>
        <v>57026537.867998146</v>
      </c>
    </row>
    <row r="24" spans="1:13" x14ac:dyDescent="0.2">
      <c r="A24" s="24"/>
      <c r="B24" s="25" t="s">
        <v>22</v>
      </c>
      <c r="C24" s="28">
        <v>2.9000000000000001E-2</v>
      </c>
      <c r="D24" s="28">
        <v>2.199E-6</v>
      </c>
      <c r="E24" s="28">
        <v>5.7230000000000002E-9</v>
      </c>
      <c r="F24" s="28">
        <v>-2.8710000000000002E-12</v>
      </c>
      <c r="G24" s="26" t="s">
        <v>2</v>
      </c>
      <c r="H24" s="29">
        <v>1</v>
      </c>
      <c r="I24" s="30">
        <v>0</v>
      </c>
      <c r="J24" s="46">
        <f>G13*454</f>
        <v>116985710.1022222</v>
      </c>
      <c r="K24" s="48">
        <f>C24*($J$3-$J$2)+D24/2*($J$3^2-$J$2^2)+E24/3*($J$3^3-$J$2^3)+F24/4*($J$3^4-$J$2^4)</f>
        <v>30.563699952246097</v>
      </c>
      <c r="L24" s="44">
        <f>J24*K24</f>
        <v>3575516142.2647643</v>
      </c>
    </row>
    <row r="25" spans="1:13" x14ac:dyDescent="0.2">
      <c r="A25" s="24"/>
      <c r="B25" s="49" t="s">
        <v>62</v>
      </c>
      <c r="C25" s="50">
        <v>3.891E-2</v>
      </c>
      <c r="D25" s="50">
        <v>3.9004000000000001E-5</v>
      </c>
      <c r="E25" s="50">
        <v>-3.1039999999999999E-8</v>
      </c>
      <c r="F25" s="50">
        <v>8.6059999999999995E-12</v>
      </c>
      <c r="G25" s="51" t="s">
        <v>2</v>
      </c>
      <c r="H25" s="52">
        <v>1</v>
      </c>
      <c r="I25" s="53">
        <v>-296.60000000000002</v>
      </c>
      <c r="J25" s="46">
        <f>G17*454</f>
        <v>47706.320000000007</v>
      </c>
      <c r="K25" s="48">
        <f>C25*($J$3-$J$2)+D25/2*($J$3^2-$J$2^2)+E25/3*($J$3^3-$J$2^3)+F25/4*($J$3^4-$J$2^4)</f>
        <v>49.232055409570307</v>
      </c>
      <c r="L25" s="44">
        <f>J25*K25</f>
        <v>2348680.1896266923</v>
      </c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 t="s">
        <v>46</v>
      </c>
      <c r="K26" s="47" t="s">
        <v>57</v>
      </c>
      <c r="L26" s="43"/>
    </row>
    <row r="27" spans="1:13" x14ac:dyDescent="0.2">
      <c r="A27" s="31"/>
      <c r="B27" s="32" t="s">
        <v>7</v>
      </c>
      <c r="C27" s="33">
        <v>0.8</v>
      </c>
      <c r="D27" s="32" t="s">
        <v>45</v>
      </c>
      <c r="E27" s="32"/>
      <c r="F27" s="32"/>
      <c r="G27" s="32"/>
      <c r="H27" s="32"/>
      <c r="I27" s="34"/>
      <c r="J27" s="46">
        <f>D10*0.454</f>
        <v>20384.600000000002</v>
      </c>
      <c r="K27" s="47">
        <f>C27*(J3-J2)</f>
        <v>780</v>
      </c>
      <c r="L27" s="44">
        <f>J27*K27</f>
        <v>15899988.000000002</v>
      </c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A29" t="s">
        <v>48</v>
      </c>
      <c r="B29" s="6"/>
      <c r="C29" s="1"/>
      <c r="D29" s="1" t="s">
        <v>49</v>
      </c>
      <c r="E29" s="1"/>
      <c r="F29" s="1" t="s">
        <v>47</v>
      </c>
      <c r="G29" s="54" t="s">
        <v>64</v>
      </c>
      <c r="H29" s="8"/>
      <c r="I29" s="9"/>
      <c r="K29" s="43" t="s">
        <v>36</v>
      </c>
      <c r="L29" s="44">
        <f>SUM(L21:L27)</f>
        <v>5267681256.0572634</v>
      </c>
      <c r="M29" s="43" t="s">
        <v>47</v>
      </c>
    </row>
    <row r="30" spans="1:13" x14ac:dyDescent="0.2">
      <c r="A30" t="str">
        <f>Sheet1!A30</f>
        <v>Heat of combustion=</v>
      </c>
      <c r="C30">
        <f>Sheet1!C30</f>
        <v>13280</v>
      </c>
      <c r="D30" t="str">
        <f>Sheet1!D30</f>
        <v>Btu/lb as rec'd</v>
      </c>
      <c r="E30" s="1"/>
      <c r="F30" t="s">
        <v>47</v>
      </c>
      <c r="G30" t="s">
        <v>58</v>
      </c>
    </row>
    <row r="31" spans="1:13" x14ac:dyDescent="0.2">
      <c r="A31" s="42" t="s">
        <v>52</v>
      </c>
      <c r="B31" s="1"/>
      <c r="C31" s="1"/>
      <c r="D31" s="1"/>
      <c r="E31" s="1"/>
      <c r="F31" s="1"/>
      <c r="G31" s="7"/>
    </row>
    <row r="32" spans="1:13" x14ac:dyDescent="0.2">
      <c r="B32" s="1"/>
    </row>
    <row r="33" spans="1:7" x14ac:dyDescent="0.2">
      <c r="B33" s="37"/>
      <c r="C33" s="38"/>
      <c r="D33" s="38"/>
      <c r="E33" s="38"/>
      <c r="F33" s="38"/>
      <c r="G33" s="38"/>
    </row>
    <row r="34" spans="1:7" x14ac:dyDescent="0.2">
      <c r="B34" s="1"/>
    </row>
    <row r="35" spans="1:7" x14ac:dyDescent="0.2">
      <c r="A35" s="39"/>
      <c r="B35" s="39"/>
      <c r="C35" s="39"/>
      <c r="D35" s="40"/>
      <c r="E35" s="39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5"/>
  <sheetViews>
    <sheetView workbookViewId="0">
      <selection activeCell="O36" sqref="O36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F4">
        <v>1</v>
      </c>
      <c r="G4" s="4">
        <f>F4*E4</f>
        <v>61131.946666666663</v>
      </c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F5">
        <f>1/4</f>
        <v>0.25</v>
      </c>
      <c r="G5" s="4">
        <f>F5*E5</f>
        <v>6543.36</v>
      </c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F6">
        <v>-0.5</v>
      </c>
      <c r="G6" s="4">
        <f>F6*E6</f>
        <v>-3288.7200000000003</v>
      </c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F7">
        <v>0</v>
      </c>
      <c r="G7" s="4">
        <f>F7*E7</f>
        <v>0</v>
      </c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F8">
        <v>1</v>
      </c>
      <c r="G8" s="4">
        <f>F8*E8</f>
        <v>105.08000000000001</v>
      </c>
    </row>
    <row r="9" spans="1:11" x14ac:dyDescent="0.2">
      <c r="B9" s="2">
        <f>SUM(B4:B8)</f>
        <v>1</v>
      </c>
      <c r="D9" s="4"/>
      <c r="F9" s="10" t="s">
        <v>13</v>
      </c>
      <c r="G9" s="11">
        <f>SUM(G4:G8)</f>
        <v>64491.666666666657</v>
      </c>
      <c r="H9" s="12" t="s">
        <v>39</v>
      </c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>
        <f>G9*32</f>
        <v>2063733.333333333</v>
      </c>
      <c r="H10" s="16" t="s">
        <v>15</v>
      </c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 t="s">
        <v>32</v>
      </c>
      <c r="G11" s="15">
        <f>1.06*G9</f>
        <v>68361.166666666657</v>
      </c>
      <c r="H11" s="16" t="s">
        <v>39</v>
      </c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>
        <f>G11*32</f>
        <v>2187557.333333333</v>
      </c>
      <c r="H12" s="16" t="s">
        <v>15</v>
      </c>
      <c r="I12" s="17"/>
    </row>
    <row r="13" spans="1:11" x14ac:dyDescent="0.2">
      <c r="F13" s="14" t="s">
        <v>14</v>
      </c>
      <c r="G13" s="15">
        <f>G11/0.21*0.79+E7/2</f>
        <v>257677.7755555555</v>
      </c>
      <c r="H13" s="16" t="s">
        <v>40</v>
      </c>
      <c r="I13" s="17"/>
    </row>
    <row r="14" spans="1:11" x14ac:dyDescent="0.2">
      <c r="F14" s="14"/>
      <c r="G14" s="15">
        <f>G13*28</f>
        <v>7214977.7155555543</v>
      </c>
      <c r="H14" s="16" t="s">
        <v>16</v>
      </c>
      <c r="I14" s="17"/>
    </row>
    <row r="15" spans="1:11" x14ac:dyDescent="0.2">
      <c r="F15" s="14" t="s">
        <v>17</v>
      </c>
      <c r="G15" s="15">
        <f>E4</f>
        <v>61131.946666666663</v>
      </c>
      <c r="H15" s="16" t="s">
        <v>41</v>
      </c>
      <c r="I15" s="17"/>
    </row>
    <row r="16" spans="1:11" x14ac:dyDescent="0.2">
      <c r="F16" s="14" t="s">
        <v>18</v>
      </c>
      <c r="G16" s="15">
        <f>E5/2+E11</f>
        <v>15658.942222222222</v>
      </c>
      <c r="H16" s="16" t="s">
        <v>42</v>
      </c>
      <c r="I16" s="17"/>
    </row>
    <row r="17" spans="1:13" x14ac:dyDescent="0.2">
      <c r="F17" s="18" t="s">
        <v>19</v>
      </c>
      <c r="G17" s="19">
        <f>E8</f>
        <v>105.08000000000001</v>
      </c>
      <c r="H17" s="20" t="s">
        <v>43</v>
      </c>
      <c r="I17" s="21"/>
    </row>
    <row r="19" spans="1:13" x14ac:dyDescent="0.2">
      <c r="A19" s="41" t="s">
        <v>20</v>
      </c>
      <c r="B19" s="22"/>
      <c r="C19" s="22"/>
      <c r="D19" s="22"/>
      <c r="E19" s="22"/>
      <c r="F19" s="22"/>
      <c r="G19" s="22"/>
      <c r="H19" s="22"/>
      <c r="I19" s="23"/>
      <c r="K19" s="47" t="s">
        <v>56</v>
      </c>
    </row>
    <row r="20" spans="1:13" x14ac:dyDescent="0.2">
      <c r="A20" s="24"/>
      <c r="B20" s="25"/>
      <c r="C20" s="25" t="s">
        <v>24</v>
      </c>
      <c r="D20" s="25" t="s">
        <v>25</v>
      </c>
      <c r="E20" s="25" t="s">
        <v>26</v>
      </c>
      <c r="F20" s="25" t="s">
        <v>27</v>
      </c>
      <c r="G20" s="26" t="s">
        <v>28</v>
      </c>
      <c r="H20" s="25" t="s">
        <v>29</v>
      </c>
      <c r="I20" s="27" t="s">
        <v>30</v>
      </c>
      <c r="J20" s="45" t="s">
        <v>44</v>
      </c>
      <c r="K20" s="47" t="s">
        <v>33</v>
      </c>
      <c r="L20" s="43" t="s">
        <v>38</v>
      </c>
    </row>
    <row r="21" spans="1:13" x14ac:dyDescent="0.2">
      <c r="A21" s="24"/>
      <c r="B21" s="25" t="s">
        <v>31</v>
      </c>
      <c r="C21" s="28">
        <v>3.6110000000000003E-2</v>
      </c>
      <c r="D21" s="28">
        <v>4.2330000000000003E-5</v>
      </c>
      <c r="E21" s="28">
        <v>-2.887E-8</v>
      </c>
      <c r="F21" s="28">
        <v>7.4639999999999997E-12</v>
      </c>
      <c r="G21" s="26" t="s">
        <v>2</v>
      </c>
      <c r="H21" s="29">
        <v>1</v>
      </c>
      <c r="I21" s="27">
        <v>-393.5</v>
      </c>
      <c r="J21" s="46">
        <f>G15*454</f>
        <v>27753903.786666665</v>
      </c>
      <c r="K21" s="48">
        <f>C21*($J$3-$J$2)+D21/2*($J$3^2-$J$2^2)+E21/3*($J$3^3-$J$2^3)+F21/4*($J$3^4-$J$2^4)</f>
        <v>48.601838177343751</v>
      </c>
      <c r="L21" s="44">
        <f>J21*K21</f>
        <v>1348890740.6291413</v>
      </c>
    </row>
    <row r="22" spans="1:13" x14ac:dyDescent="0.2">
      <c r="A22" s="24"/>
      <c r="B22" s="25" t="s">
        <v>21</v>
      </c>
      <c r="C22" s="28">
        <v>3.3459999999999997E-2</v>
      </c>
      <c r="D22" s="28">
        <v>6.8800000000000002E-6</v>
      </c>
      <c r="E22" s="28">
        <v>7.6039999999999998E-9</v>
      </c>
      <c r="F22" s="28">
        <v>-3.5930000000000001E-12</v>
      </c>
      <c r="G22" s="26" t="s">
        <v>2</v>
      </c>
      <c r="H22" s="29">
        <v>1</v>
      </c>
      <c r="I22" s="30">
        <v>-241.83</v>
      </c>
      <c r="J22" s="46">
        <f>G16*454</f>
        <v>7109159.7688888889</v>
      </c>
      <c r="K22" s="48">
        <f>C22*($J$3-$J$2)+D22/2*($J$3^2-$J$2^2)+E22/3*($J$3^3-$J$2^3)+F22/4*($J$3^4-$J$2^4)</f>
        <v>37.697727413378907</v>
      </c>
      <c r="L22" s="44">
        <f>J22*K22</f>
        <v>267999167.10573313</v>
      </c>
    </row>
    <row r="23" spans="1:13" x14ac:dyDescent="0.2">
      <c r="A23" s="24"/>
      <c r="B23" s="25" t="s">
        <v>23</v>
      </c>
      <c r="C23" s="28">
        <v>2.9100000000000001E-2</v>
      </c>
      <c r="D23" s="28">
        <v>1.1579999999999999E-5</v>
      </c>
      <c r="E23" s="28">
        <v>-6.0760000000000001E-9</v>
      </c>
      <c r="F23" s="28">
        <v>1.311E-12</v>
      </c>
      <c r="G23" s="26" t="s">
        <v>2</v>
      </c>
      <c r="H23" s="29">
        <v>1</v>
      </c>
      <c r="I23" s="27">
        <v>0</v>
      </c>
      <c r="J23" s="46">
        <f>(G11-G9)*454</f>
        <v>1756753</v>
      </c>
      <c r="K23" s="48">
        <f>C23*($J$3-$J$2)+D23/2*($J$3^2-$J$2^2)+E23/3*($J$3^3-$J$2^3)+F23/4*($J$3^4-$J$2^4)</f>
        <v>32.46132943447266</v>
      </c>
      <c r="L23" s="44">
        <f>J23*K23</f>
        <v>57026537.867998146</v>
      </c>
    </row>
    <row r="24" spans="1:13" x14ac:dyDescent="0.2">
      <c r="A24" s="24"/>
      <c r="B24" s="25" t="s">
        <v>22</v>
      </c>
      <c r="C24" s="28">
        <v>2.9000000000000001E-2</v>
      </c>
      <c r="D24" s="28">
        <v>2.199E-6</v>
      </c>
      <c r="E24" s="28">
        <v>5.7230000000000002E-9</v>
      </c>
      <c r="F24" s="28">
        <v>-2.8710000000000002E-12</v>
      </c>
      <c r="G24" s="26" t="s">
        <v>2</v>
      </c>
      <c r="H24" s="29">
        <v>1</v>
      </c>
      <c r="I24" s="30">
        <v>0</v>
      </c>
      <c r="J24" s="46">
        <f>G13*454</f>
        <v>116985710.1022222</v>
      </c>
      <c r="K24" s="48">
        <f>C24*($J$3-$J$2)+D24/2*($J$3^2-$J$2^2)+E24/3*($J$3^3-$J$2^3)+F24/4*($J$3^4-$J$2^4)</f>
        <v>30.563699952246097</v>
      </c>
      <c r="L24" s="44">
        <f>J24*K24</f>
        <v>3575516142.2647643</v>
      </c>
    </row>
    <row r="25" spans="1:13" x14ac:dyDescent="0.2">
      <c r="A25" s="24"/>
      <c r="B25" s="49" t="s">
        <v>62</v>
      </c>
      <c r="C25" s="50">
        <v>3.891E-2</v>
      </c>
      <c r="D25" s="50">
        <v>3.9004000000000001E-5</v>
      </c>
      <c r="E25" s="50">
        <v>-3.1039999999999999E-8</v>
      </c>
      <c r="F25" s="50">
        <v>8.6059999999999995E-12</v>
      </c>
      <c r="G25" s="51" t="s">
        <v>2</v>
      </c>
      <c r="H25" s="52">
        <v>1</v>
      </c>
      <c r="I25" s="53">
        <v>-296.60000000000002</v>
      </c>
      <c r="J25" s="46">
        <f>G17*454</f>
        <v>47706.320000000007</v>
      </c>
      <c r="K25" s="48">
        <f>C25*($J$3-$J$2)+D25/2*($J$3^2-$J$2^2)+E25/3*($J$3^3-$J$2^3)+F25/4*($J$3^4-$J$2^4)</f>
        <v>49.232055409570307</v>
      </c>
      <c r="L25" s="44">
        <f>J25*K25</f>
        <v>2348680.1896266923</v>
      </c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 t="s">
        <v>46</v>
      </c>
      <c r="K26" s="47" t="s">
        <v>57</v>
      </c>
      <c r="L26" s="43"/>
    </row>
    <row r="27" spans="1:13" x14ac:dyDescent="0.2">
      <c r="A27" s="31"/>
      <c r="B27" s="32" t="s">
        <v>7</v>
      </c>
      <c r="C27" s="33">
        <v>0.8</v>
      </c>
      <c r="D27" s="32" t="s">
        <v>45</v>
      </c>
      <c r="E27" s="32"/>
      <c r="F27" s="32"/>
      <c r="G27" s="32"/>
      <c r="H27" s="32"/>
      <c r="I27" s="34"/>
      <c r="J27" s="46">
        <f>D10*0.454</f>
        <v>20384.600000000002</v>
      </c>
      <c r="K27" s="47">
        <f>C27*(J3-J2)</f>
        <v>780</v>
      </c>
      <c r="L27" s="44">
        <f>J27*K27</f>
        <v>15899988.000000002</v>
      </c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A29" t="s">
        <v>48</v>
      </c>
      <c r="B29" s="6"/>
      <c r="C29" s="1">
        <f>40.656</f>
        <v>40.655999999999999</v>
      </c>
      <c r="D29" s="1" t="s">
        <v>49</v>
      </c>
      <c r="E29" s="1">
        <f>C29*(E11+G16)*454</f>
        <v>336507624.63061333</v>
      </c>
      <c r="F29" s="1" t="s">
        <v>47</v>
      </c>
      <c r="G29" s="54" t="str">
        <f>Sheet7!G29</f>
        <v>(moisture plus water from combustion)</v>
      </c>
      <c r="H29" s="8"/>
      <c r="I29" s="9"/>
      <c r="K29" s="43" t="s">
        <v>36</v>
      </c>
      <c r="L29" s="44">
        <f>SUM(L21:L27)</f>
        <v>5267681256.0572634</v>
      </c>
      <c r="M29" s="43" t="s">
        <v>47</v>
      </c>
    </row>
    <row r="30" spans="1:13" x14ac:dyDescent="0.2">
      <c r="A30" t="s">
        <v>50</v>
      </c>
      <c r="C30">
        <f>13280</f>
        <v>13280</v>
      </c>
      <c r="D30" t="s">
        <v>51</v>
      </c>
      <c r="E30" s="1">
        <f>-C30/(1-B12)*A2</f>
        <v>-14612676056.338026</v>
      </c>
      <c r="F30" t="s">
        <v>47</v>
      </c>
      <c r="G30" t="s">
        <v>58</v>
      </c>
    </row>
    <row r="31" spans="1:13" x14ac:dyDescent="0.2">
      <c r="A31" s="42" t="s">
        <v>52</v>
      </c>
      <c r="B31" s="1"/>
      <c r="C31" s="1" t="s">
        <v>47</v>
      </c>
      <c r="D31" s="1"/>
      <c r="E31" s="1"/>
      <c r="F31" s="1"/>
      <c r="G31" s="7"/>
    </row>
    <row r="32" spans="1:13" x14ac:dyDescent="0.2">
      <c r="B32" s="1"/>
      <c r="C32" t="s">
        <v>53</v>
      </c>
    </row>
    <row r="33" spans="1:7" x14ac:dyDescent="0.2">
      <c r="B33" s="37"/>
      <c r="C33" s="38" t="s">
        <v>54</v>
      </c>
      <c r="D33" s="38" t="s">
        <v>59</v>
      </c>
      <c r="E33" s="38"/>
      <c r="F33" s="38"/>
      <c r="G33" s="38"/>
    </row>
    <row r="34" spans="1:7" x14ac:dyDescent="0.2">
      <c r="B34" s="1"/>
    </row>
    <row r="35" spans="1:7" x14ac:dyDescent="0.2">
      <c r="A35" s="39" t="s">
        <v>55</v>
      </c>
      <c r="B35" s="39"/>
      <c r="C35" s="39"/>
      <c r="D35" s="40"/>
      <c r="E35" s="39" t="s">
        <v>54</v>
      </c>
    </row>
  </sheetData>
  <phoneticPr fontId="4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9226" r:id="rId4">
          <objectPr defaultSize="0" r:id="rId5">
            <anchor moveWithCells="1">
              <from>
                <xdr:col>0</xdr:col>
                <xdr:colOff>123825</xdr:colOff>
                <xdr:row>35</xdr:row>
                <xdr:rowOff>123825</xdr:rowOff>
              </from>
              <to>
                <xdr:col>12</xdr:col>
                <xdr:colOff>133350</xdr:colOff>
                <xdr:row>41</xdr:row>
                <xdr:rowOff>47625</xdr:rowOff>
              </to>
            </anchor>
          </objectPr>
        </oleObject>
      </mc:Choice>
      <mc:Fallback>
        <oleObject shapeId="9226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D35" sqref="D35"/>
    </sheetView>
  </sheetViews>
  <sheetFormatPr defaultRowHeight="12.75" x14ac:dyDescent="0.2"/>
  <cols>
    <col min="2" max="2" width="9.5703125" bestFit="1" customWidth="1"/>
    <col min="4" max="4" width="12.42578125" customWidth="1"/>
    <col min="5" max="5" width="9.85546875" bestFit="1" customWidth="1"/>
    <col min="6" max="6" width="10.7109375" customWidth="1"/>
    <col min="7" max="7" width="12.5703125" customWidth="1"/>
    <col min="10" max="10" width="12.42578125" customWidth="1"/>
    <col min="12" max="12" width="9.85546875" bestFit="1" customWidth="1"/>
  </cols>
  <sheetData>
    <row r="1" spans="1:11" ht="18" x14ac:dyDescent="0.25">
      <c r="A1" s="5" t="s">
        <v>0</v>
      </c>
    </row>
    <row r="2" spans="1:11" x14ac:dyDescent="0.2">
      <c r="A2" s="35">
        <v>1000000</v>
      </c>
      <c r="B2" s="36" t="s">
        <v>1</v>
      </c>
      <c r="C2" s="36"/>
      <c r="I2" s="36" t="s">
        <v>34</v>
      </c>
      <c r="J2" s="36">
        <v>25</v>
      </c>
      <c r="K2" s="36" t="s">
        <v>2</v>
      </c>
    </row>
    <row r="3" spans="1:11" x14ac:dyDescent="0.2">
      <c r="B3" t="s">
        <v>9</v>
      </c>
      <c r="C3" t="s">
        <v>10</v>
      </c>
      <c r="D3" t="s">
        <v>11</v>
      </c>
      <c r="E3" t="s">
        <v>37</v>
      </c>
      <c r="F3" t="s">
        <v>12</v>
      </c>
      <c r="G3" t="s">
        <v>39</v>
      </c>
      <c r="I3" s="36" t="s">
        <v>35</v>
      </c>
      <c r="J3" s="36">
        <v>1000</v>
      </c>
      <c r="K3" s="36" t="s">
        <v>2</v>
      </c>
    </row>
    <row r="4" spans="1:11" x14ac:dyDescent="0.2">
      <c r="A4" t="s">
        <v>2</v>
      </c>
      <c r="B4" s="2">
        <f>80.69%+0.03%</f>
        <v>0.80719999999999992</v>
      </c>
      <c r="C4" s="3">
        <f>B4*(1-$B$12)</f>
        <v>0.73358336000000002</v>
      </c>
      <c r="D4" s="4">
        <f>C4*$A$2</f>
        <v>733583.35999999999</v>
      </c>
      <c r="E4" s="4">
        <f>D4/12</f>
        <v>61131.946666666663</v>
      </c>
      <c r="F4">
        <v>1</v>
      </c>
      <c r="G4" s="4">
        <f>F4*E4</f>
        <v>61131.946666666663</v>
      </c>
    </row>
    <row r="5" spans="1:11" x14ac:dyDescent="0.2">
      <c r="A5" t="s">
        <v>3</v>
      </c>
      <c r="B5" s="2">
        <v>5.7599999999999998E-2</v>
      </c>
      <c r="C5" s="3">
        <f>B5*(1-$B$12)</f>
        <v>5.2346879999999998E-2</v>
      </c>
      <c r="D5" s="4">
        <f t="shared" ref="D5:D11" si="0">C5*$A$2</f>
        <v>52346.879999999997</v>
      </c>
      <c r="E5" s="4">
        <f>D5/2</f>
        <v>26173.439999999999</v>
      </c>
      <c r="F5">
        <f>1/4</f>
        <v>0.25</v>
      </c>
      <c r="G5" s="4">
        <f>F5*E5</f>
        <v>6543.36</v>
      </c>
    </row>
    <row r="6" spans="1:11" x14ac:dyDescent="0.2">
      <c r="A6" t="s">
        <v>4</v>
      </c>
      <c r="B6" s="2">
        <v>0.1158</v>
      </c>
      <c r="C6" s="3">
        <f>B6*(1-$B$12)</f>
        <v>0.10523904000000001</v>
      </c>
      <c r="D6" s="4">
        <f t="shared" si="0"/>
        <v>105239.04000000001</v>
      </c>
      <c r="E6" s="4">
        <f>D6/16</f>
        <v>6577.4400000000005</v>
      </c>
      <c r="F6">
        <v>-0.5</v>
      </c>
      <c r="G6" s="4">
        <f>F6*E6</f>
        <v>-3288.7200000000003</v>
      </c>
    </row>
    <row r="7" spans="1:11" x14ac:dyDescent="0.2">
      <c r="A7" t="s">
        <v>5</v>
      </c>
      <c r="B7" s="2">
        <v>1.5699999999999999E-2</v>
      </c>
      <c r="C7" s="3">
        <f>B7*(1-$B$12)</f>
        <v>1.426816E-2</v>
      </c>
      <c r="D7" s="4">
        <f t="shared" si="0"/>
        <v>14268.16</v>
      </c>
      <c r="E7" s="4">
        <f>D7/14</f>
        <v>1019.1542857142857</v>
      </c>
      <c r="F7">
        <v>0</v>
      </c>
      <c r="G7" s="4">
        <f>F7*E7</f>
        <v>0</v>
      </c>
    </row>
    <row r="8" spans="1:11" x14ac:dyDescent="0.2">
      <c r="A8" t="s">
        <v>6</v>
      </c>
      <c r="B8" s="2">
        <v>3.7000000000000002E-3</v>
      </c>
      <c r="C8" s="3">
        <f>B8*(1-$B$12)</f>
        <v>3.3625600000000005E-3</v>
      </c>
      <c r="D8" s="4">
        <f t="shared" si="0"/>
        <v>3362.5600000000004</v>
      </c>
      <c r="E8" s="4">
        <f>D8/32</f>
        <v>105.08000000000001</v>
      </c>
      <c r="F8">
        <v>1</v>
      </c>
      <c r="G8" s="4">
        <f>F8*E8</f>
        <v>105.08000000000001</v>
      </c>
    </row>
    <row r="9" spans="1:11" x14ac:dyDescent="0.2">
      <c r="B9" s="2">
        <f>SUM(B4:B8)</f>
        <v>1</v>
      </c>
      <c r="D9" s="4"/>
      <c r="F9" s="10" t="s">
        <v>13</v>
      </c>
      <c r="G9" s="11">
        <f>SUM(G4:G8)</f>
        <v>64491.666666666657</v>
      </c>
      <c r="H9" s="12" t="s">
        <v>39</v>
      </c>
      <c r="I9" s="13"/>
    </row>
    <row r="10" spans="1:11" x14ac:dyDescent="0.2">
      <c r="A10" t="s">
        <v>7</v>
      </c>
      <c r="B10" s="2">
        <v>4.4900000000000002E-2</v>
      </c>
      <c r="C10" s="2">
        <v>4.4900000000000002E-2</v>
      </c>
      <c r="D10" s="4">
        <f t="shared" si="0"/>
        <v>44900</v>
      </c>
      <c r="F10" s="14"/>
      <c r="G10" s="15">
        <f>G9*32</f>
        <v>2063733.333333333</v>
      </c>
      <c r="H10" s="16" t="s">
        <v>15</v>
      </c>
      <c r="I10" s="17"/>
    </row>
    <row r="11" spans="1:11" x14ac:dyDescent="0.2">
      <c r="A11" t="s">
        <v>8</v>
      </c>
      <c r="B11" s="2">
        <v>4.6300000000000001E-2</v>
      </c>
      <c r="C11" s="2">
        <v>4.6300000000000001E-2</v>
      </c>
      <c r="D11" s="4">
        <f t="shared" si="0"/>
        <v>46300</v>
      </c>
      <c r="E11" s="4">
        <f>D11/18</f>
        <v>2572.2222222222222</v>
      </c>
      <c r="F11" s="14" t="s">
        <v>32</v>
      </c>
      <c r="G11" s="15">
        <f>1.06*G9</f>
        <v>68361.166666666657</v>
      </c>
      <c r="H11" s="16" t="s">
        <v>39</v>
      </c>
      <c r="I11" s="17"/>
    </row>
    <row r="12" spans="1:11" x14ac:dyDescent="0.2">
      <c r="B12" s="2">
        <f>SUM(B10:B11)</f>
        <v>9.1200000000000003E-2</v>
      </c>
      <c r="C12" s="2">
        <f>SUM(C4:C11)</f>
        <v>1</v>
      </c>
      <c r="F12" s="14"/>
      <c r="G12" s="15">
        <f>G11*32</f>
        <v>2187557.333333333</v>
      </c>
      <c r="H12" s="16" t="s">
        <v>15</v>
      </c>
      <c r="I12" s="17"/>
    </row>
    <row r="13" spans="1:11" x14ac:dyDescent="0.2">
      <c r="F13" s="14" t="s">
        <v>14</v>
      </c>
      <c r="G13" s="15">
        <f>G11/0.21*0.79+E7/2</f>
        <v>257677.7755555555</v>
      </c>
      <c r="H13" s="16" t="s">
        <v>40</v>
      </c>
      <c r="I13" s="17"/>
    </row>
    <row r="14" spans="1:11" x14ac:dyDescent="0.2">
      <c r="F14" s="14"/>
      <c r="G14" s="15">
        <f>G13*28</f>
        <v>7214977.7155555543</v>
      </c>
      <c r="H14" s="16" t="s">
        <v>16</v>
      </c>
      <c r="I14" s="17"/>
    </row>
    <row r="15" spans="1:11" x14ac:dyDescent="0.2">
      <c r="F15" s="14" t="s">
        <v>17</v>
      </c>
      <c r="G15" s="15">
        <f>E4</f>
        <v>61131.946666666663</v>
      </c>
      <c r="H15" s="16" t="s">
        <v>41</v>
      </c>
      <c r="I15" s="17"/>
    </row>
    <row r="16" spans="1:11" x14ac:dyDescent="0.2">
      <c r="F16" s="14" t="s">
        <v>18</v>
      </c>
      <c r="G16" s="15">
        <f>E5/2+E11</f>
        <v>15658.942222222222</v>
      </c>
      <c r="H16" s="16" t="s">
        <v>42</v>
      </c>
      <c r="I16" s="17"/>
    </row>
    <row r="17" spans="1:13" x14ac:dyDescent="0.2">
      <c r="F17" s="18" t="s">
        <v>19</v>
      </c>
      <c r="G17" s="19">
        <f>E8</f>
        <v>105.08000000000001</v>
      </c>
      <c r="H17" s="20" t="s">
        <v>43</v>
      </c>
      <c r="I17" s="21"/>
    </row>
    <row r="19" spans="1:13" x14ac:dyDescent="0.2">
      <c r="A19" s="41" t="s">
        <v>20</v>
      </c>
      <c r="B19" s="22"/>
      <c r="C19" s="22"/>
      <c r="D19" s="22"/>
      <c r="E19" s="22"/>
      <c r="F19" s="22"/>
      <c r="G19" s="22"/>
      <c r="H19" s="22"/>
      <c r="I19" s="23"/>
      <c r="K19" s="47" t="s">
        <v>56</v>
      </c>
    </row>
    <row r="20" spans="1:13" x14ac:dyDescent="0.2">
      <c r="A20" s="24"/>
      <c r="B20" s="25"/>
      <c r="C20" s="25" t="s">
        <v>24</v>
      </c>
      <c r="D20" s="25" t="s">
        <v>25</v>
      </c>
      <c r="E20" s="25" t="s">
        <v>26</v>
      </c>
      <c r="F20" s="25" t="s">
        <v>27</v>
      </c>
      <c r="G20" s="26" t="s">
        <v>28</v>
      </c>
      <c r="H20" s="25" t="s">
        <v>29</v>
      </c>
      <c r="I20" s="27" t="s">
        <v>30</v>
      </c>
      <c r="J20" s="45" t="s">
        <v>44</v>
      </c>
      <c r="K20" s="47" t="s">
        <v>33</v>
      </c>
      <c r="L20" s="43" t="s">
        <v>38</v>
      </c>
    </row>
    <row r="21" spans="1:13" x14ac:dyDescent="0.2">
      <c r="A21" s="24"/>
      <c r="B21" s="25" t="s">
        <v>31</v>
      </c>
      <c r="C21" s="28">
        <v>3.6110000000000003E-2</v>
      </c>
      <c r="D21" s="28">
        <v>4.2330000000000003E-5</v>
      </c>
      <c r="E21" s="28">
        <v>-2.887E-8</v>
      </c>
      <c r="F21" s="28">
        <v>7.4639999999999997E-12</v>
      </c>
      <c r="G21" s="26" t="s">
        <v>2</v>
      </c>
      <c r="H21" s="29">
        <v>1</v>
      </c>
      <c r="I21" s="27">
        <v>-393.5</v>
      </c>
      <c r="J21" s="46">
        <f>G15*454</f>
        <v>27753903.786666665</v>
      </c>
      <c r="K21" s="48">
        <f>C21*($J$3-$J$2)+D21/2*($J$3^2-$J$2^2)+E21/3*($J$3^3-$J$2^3)+F21/4*($J$3^4-$J$2^4)</f>
        <v>48.601838177343751</v>
      </c>
      <c r="L21" s="44">
        <f>J21*K21</f>
        <v>1348890740.6291413</v>
      </c>
    </row>
    <row r="22" spans="1:13" x14ac:dyDescent="0.2">
      <c r="A22" s="24"/>
      <c r="B22" s="25" t="s">
        <v>21</v>
      </c>
      <c r="C22" s="28">
        <v>3.3459999999999997E-2</v>
      </c>
      <c r="D22" s="28">
        <v>6.8800000000000002E-6</v>
      </c>
      <c r="E22" s="28">
        <v>7.6039999999999998E-9</v>
      </c>
      <c r="F22" s="28">
        <v>-3.5930000000000001E-12</v>
      </c>
      <c r="G22" s="26" t="s">
        <v>2</v>
      </c>
      <c r="H22" s="29">
        <v>1</v>
      </c>
      <c r="I22" s="30">
        <v>-241.83</v>
      </c>
      <c r="J22" s="46">
        <f>G16*454</f>
        <v>7109159.7688888889</v>
      </c>
      <c r="K22" s="48">
        <f>C22*($J$3-$J$2)+D22/2*($J$3^2-$J$2^2)+E22/3*($J$3^3-$J$2^3)+F22/4*($J$3^4-$J$2^4)</f>
        <v>37.697727413378907</v>
      </c>
      <c r="L22" s="44">
        <f>J22*K22</f>
        <v>267999167.10573313</v>
      </c>
    </row>
    <row r="23" spans="1:13" x14ac:dyDescent="0.2">
      <c r="A23" s="24"/>
      <c r="B23" s="25" t="s">
        <v>23</v>
      </c>
      <c r="C23" s="28">
        <v>2.9100000000000001E-2</v>
      </c>
      <c r="D23" s="28">
        <v>1.1579999999999999E-5</v>
      </c>
      <c r="E23" s="28">
        <v>-6.0760000000000001E-9</v>
      </c>
      <c r="F23" s="28">
        <v>1.311E-12</v>
      </c>
      <c r="G23" s="26" t="s">
        <v>2</v>
      </c>
      <c r="H23" s="29">
        <v>1</v>
      </c>
      <c r="I23" s="27">
        <v>0</v>
      </c>
      <c r="J23" s="46">
        <f>(G11-G9)*454</f>
        <v>1756753</v>
      </c>
      <c r="K23" s="48">
        <f>C23*($J$3-$J$2)+D23/2*($J$3^2-$J$2^2)+E23/3*($J$3^3-$J$2^3)+F23/4*($J$3^4-$J$2^4)</f>
        <v>32.46132943447266</v>
      </c>
      <c r="L23" s="44">
        <f>J23*K23</f>
        <v>57026537.867998146</v>
      </c>
    </row>
    <row r="24" spans="1:13" x14ac:dyDescent="0.2">
      <c r="A24" s="24"/>
      <c r="B24" s="25" t="s">
        <v>22</v>
      </c>
      <c r="C24" s="28">
        <v>2.9000000000000001E-2</v>
      </c>
      <c r="D24" s="28">
        <v>2.199E-6</v>
      </c>
      <c r="E24" s="28">
        <v>5.7230000000000002E-9</v>
      </c>
      <c r="F24" s="28">
        <v>-2.8710000000000002E-12</v>
      </c>
      <c r="G24" s="26" t="s">
        <v>2</v>
      </c>
      <c r="H24" s="29">
        <v>1</v>
      </c>
      <c r="I24" s="30">
        <v>0</v>
      </c>
      <c r="J24" s="46">
        <f>G13*454</f>
        <v>116985710.1022222</v>
      </c>
      <c r="K24" s="48">
        <f>C24*($J$3-$J$2)+D24/2*($J$3^2-$J$2^2)+E24/3*($J$3^3-$J$2^3)+F24/4*($J$3^4-$J$2^4)</f>
        <v>30.563699952246097</v>
      </c>
      <c r="L24" s="44">
        <f>J24*K24</f>
        <v>3575516142.2647643</v>
      </c>
    </row>
    <row r="25" spans="1:13" x14ac:dyDescent="0.2">
      <c r="A25" s="24"/>
      <c r="B25" s="49" t="s">
        <v>62</v>
      </c>
      <c r="C25" s="50">
        <v>3.891E-2</v>
      </c>
      <c r="D25" s="50">
        <v>3.9004000000000001E-5</v>
      </c>
      <c r="E25" s="50">
        <v>-3.1039999999999999E-8</v>
      </c>
      <c r="F25" s="50">
        <v>8.6059999999999995E-12</v>
      </c>
      <c r="G25" s="51" t="s">
        <v>2</v>
      </c>
      <c r="H25" s="52">
        <v>1</v>
      </c>
      <c r="I25" s="53">
        <v>-296.60000000000002</v>
      </c>
      <c r="J25" s="46">
        <f>G17*454</f>
        <v>47706.320000000007</v>
      </c>
      <c r="K25" s="48">
        <f>C25*($J$3-$J$2)+D25/2*($J$3^2-$J$2^2)+E25/3*($J$3^3-$J$2^3)+F25/4*($J$3^4-$J$2^4)</f>
        <v>49.232055409570307</v>
      </c>
      <c r="L25" s="44">
        <f>J25*K25</f>
        <v>2348680.1896266923</v>
      </c>
    </row>
    <row r="26" spans="1:13" x14ac:dyDescent="0.2">
      <c r="A26" s="24"/>
      <c r="B26" s="25"/>
      <c r="C26" s="25"/>
      <c r="D26" s="25"/>
      <c r="E26" s="25"/>
      <c r="F26" s="25"/>
      <c r="G26" s="25"/>
      <c r="H26" s="25"/>
      <c r="I26" s="27"/>
      <c r="J26" s="45" t="s">
        <v>46</v>
      </c>
      <c r="K26" s="47" t="s">
        <v>57</v>
      </c>
      <c r="L26" s="43"/>
    </row>
    <row r="27" spans="1:13" x14ac:dyDescent="0.2">
      <c r="A27" s="31"/>
      <c r="B27" s="32" t="s">
        <v>7</v>
      </c>
      <c r="C27" s="33">
        <v>0.8</v>
      </c>
      <c r="D27" s="32" t="s">
        <v>45</v>
      </c>
      <c r="E27" s="32"/>
      <c r="F27" s="32"/>
      <c r="G27" s="32"/>
      <c r="H27" s="32"/>
      <c r="I27" s="34"/>
      <c r="J27" s="46">
        <f>D10*0.454</f>
        <v>20384.600000000002</v>
      </c>
      <c r="K27" s="47">
        <f>C27*(J3-J2)</f>
        <v>780</v>
      </c>
      <c r="L27" s="44">
        <f>J27*K27</f>
        <v>15899988.000000002</v>
      </c>
    </row>
    <row r="28" spans="1:13" x14ac:dyDescent="0.2">
      <c r="A28" s="6"/>
      <c r="C28" s="1"/>
      <c r="D28" s="1"/>
      <c r="E28" s="1"/>
      <c r="F28" s="1"/>
      <c r="G28" s="7"/>
      <c r="H28" s="8"/>
      <c r="I28" s="9"/>
    </row>
    <row r="29" spans="1:13" x14ac:dyDescent="0.2">
      <c r="A29" t="s">
        <v>48</v>
      </c>
      <c r="B29" s="6"/>
      <c r="C29" s="1">
        <f>40.656</f>
        <v>40.655999999999999</v>
      </c>
      <c r="D29" s="1" t="s">
        <v>49</v>
      </c>
      <c r="E29" s="1">
        <f>C29*(E11+G16)*454</f>
        <v>336507624.63061333</v>
      </c>
      <c r="F29" s="1" t="s">
        <v>47</v>
      </c>
      <c r="G29" s="54" t="str">
        <f>Sheet7!G29</f>
        <v>(moisture plus water from combustion)</v>
      </c>
      <c r="H29" s="8"/>
      <c r="I29" s="9"/>
      <c r="K29" s="43" t="s">
        <v>36</v>
      </c>
      <c r="L29" s="44">
        <f>SUM(L21:L27)</f>
        <v>5267681256.0572634</v>
      </c>
      <c r="M29" s="43" t="s">
        <v>47</v>
      </c>
    </row>
    <row r="30" spans="1:13" x14ac:dyDescent="0.2">
      <c r="A30" t="s">
        <v>50</v>
      </c>
      <c r="C30">
        <f>13280</f>
        <v>13280</v>
      </c>
      <c r="D30" t="s">
        <v>51</v>
      </c>
      <c r="E30" s="1">
        <f>-C30/(1-B12)*A2</f>
        <v>-14612676056.338026</v>
      </c>
      <c r="F30" t="s">
        <v>47</v>
      </c>
      <c r="G30" t="s">
        <v>58</v>
      </c>
    </row>
    <row r="31" spans="1:13" x14ac:dyDescent="0.2">
      <c r="A31" s="42" t="s">
        <v>52</v>
      </c>
      <c r="B31" s="1">
        <f>E30+E29+L29</f>
        <v>-9008487175.6501503</v>
      </c>
      <c r="C31" s="1" t="s">
        <v>47</v>
      </c>
      <c r="D31" s="1"/>
      <c r="E31" s="1"/>
      <c r="F31" s="1"/>
      <c r="G31" s="7"/>
    </row>
    <row r="32" spans="1:13" x14ac:dyDescent="0.2">
      <c r="B32" s="1">
        <f>B31/3600</f>
        <v>-2502357.5487917084</v>
      </c>
      <c r="C32" t="s">
        <v>53</v>
      </c>
    </row>
    <row r="33" spans="1:7" x14ac:dyDescent="0.2">
      <c r="B33" s="37">
        <f>B32/1000</f>
        <v>-2502.3575487917083</v>
      </c>
      <c r="C33" s="38" t="s">
        <v>54</v>
      </c>
      <c r="D33" s="38" t="s">
        <v>59</v>
      </c>
      <c r="E33" s="38"/>
      <c r="F33" s="38"/>
      <c r="G33" s="38"/>
    </row>
    <row r="34" spans="1:7" x14ac:dyDescent="0.2">
      <c r="B34" s="1"/>
    </row>
    <row r="35" spans="1:7" x14ac:dyDescent="0.2">
      <c r="A35" s="39" t="s">
        <v>55</v>
      </c>
      <c r="B35" s="39"/>
      <c r="C35" s="39"/>
      <c r="D35" s="40">
        <f>-B33*0.34</f>
        <v>850.80156658918088</v>
      </c>
      <c r="E35" s="39" t="s">
        <v>54</v>
      </c>
    </row>
  </sheetData>
  <phoneticPr fontId="4" type="noConversion"/>
  <printOptions gridLines="1"/>
  <pageMargins left="0.75" right="0.75" top="1" bottom="1" header="0.5" footer="0.5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2020-11-13T15:26:40Z</cp:lastPrinted>
  <dcterms:created xsi:type="dcterms:W3CDTF">2006-03-23T15:31:55Z</dcterms:created>
  <dcterms:modified xsi:type="dcterms:W3CDTF">2021-11-12T15:23:17Z</dcterms:modified>
</cp:coreProperties>
</file>